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8" windowWidth="13500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<sst xmlns="http://schemas.openxmlformats.org/spreadsheetml/2006/main" count="166" uniqueCount="113">
  <si>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</si>
  <si>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</si>
  <si>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</si>
  <si>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</si>
  <si>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</si>
  <si>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</si>
  <si>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</si>
  <si>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</si>
  <si>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</si>
  <si>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</si>
  <si>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</si>
  <si>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</si>
  <si>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</si>
  <si>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</si>
  <si>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</si>
  <si>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</si>
  <si>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</si>
  <si>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</si>
  <si>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</si>
  <si>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</si>
  <si>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</si>
  <si>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</si>
  <si>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</si>
  <si>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</si>
  <si>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</si>
  <si>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</si>
  <si>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</si>
  <si>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</si>
  <si>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</si>
  <si>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</si>
  <si>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</si>
  <si>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</si>
  <si>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</si>
  <si>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</si>
  <si>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</si>
  <si>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</si>
  <si>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</si>
  <si>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</si>
  <si>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</si>
  <si>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</si>
  <si>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</si>
  <si>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</si>
  <si>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</si>
  <si>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</si>
  <si>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</si>
  <si>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</si>
  <si>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</si>
  <si>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</si>
  <si>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</si>
  <si>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</si>
  <si>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</si>
  <si>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</si>
  <si>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</si>
  <si>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</si>
  <si>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</si>
  <si>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</si>
  <si>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</si>
  <si>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</si>
  <si>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</si>
  <si>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</si>
  <si>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</si>
  <si>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</si>
  <si>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</si>
  <si>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</si>
  <si>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</si>
  <si>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</si>
  <si>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</si>
  <si>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</si>
  <si>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</si>
  <si>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</si>
  <si>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</si>
  <si>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</si>
  <si>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</si>
  <si>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</si>
  <si>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</si>
  <si>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</si>
  <si>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</si>
  <si>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</si>
  <si>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</si>
  <si>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</si>
  <si>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</si>
  <si>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</si>
  <si>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</si>
  <si>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</si>
  <si>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</si>
  <si>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</si>
  <si>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</si>
  <si>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</si>
  <si>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</si>
  <si>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</si>
  <si>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</si>
  <si>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</si>
  <si>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</si>
  <si>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</si>
  <si>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</si>
  <si>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</si>
  <si>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</si>
  <si>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</si>
  <si>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</si>
  <si>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</si>
  <si>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</si>
  <si>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</si>
  <si>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</si>
  <si>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</si>
  <si>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</si>
  <si>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</si>
  <si>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</si>
  <si>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</si>
  <si>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</si>
  <si>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8 місяців, тис.грн.</t>
  </si>
  <si>
    <t>Відсоток виконання  плану 8 місяців</t>
  </si>
  <si>
    <t>Відхилення від  плану 8 місяців, тис.грн.</t>
  </si>
  <si>
    <t>Аналіз використання коштів загального фонду міського бюджету станом на 06.08.2018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</si>
</sst>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18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37" fillId="36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11"/>
          <c:w val="0.85325"/>
          <c:h val="0.64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123560.49999999996</c:v>
                </c:pt>
                <c:pt idx="1">
                  <c:v>118029.90999999999</c:v>
                </c:pt>
                <c:pt idx="2">
                  <c:v>1365.5000000000002</c:v>
                </c:pt>
                <c:pt idx="3">
                  <c:v>4165.089999999967</c:v>
                </c:pt>
              </c:numCache>
            </c:numRef>
          </c:val>
          <c:shape val="box"/>
        </c:ser>
        <c:shape val="box"/>
        <c:axId val="28075670"/>
        <c:axId val="51354439"/>
      </c:bar3DChart>
      <c:catAx>
        <c:axId val="2807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54439"/>
        <c:crosses val="autoZero"/>
        <c:auto val="1"/>
        <c:lblOffset val="100"/>
        <c:tickLblSkip val="1"/>
        <c:noMultiLvlLbl val="0"/>
      </c:catAx>
      <c:valAx>
        <c:axId val="51354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825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55"/>
          <c:w val="0.8435"/>
          <c:h val="0.70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824987.8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23960.70000000001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477772.2000000001</c:v>
                </c:pt>
                <c:pt idx="1">
                  <c:v>162129.09999999998</c:v>
                </c:pt>
                <c:pt idx="2">
                  <c:v>390369.0000000002</c:v>
                </c:pt>
                <c:pt idx="3">
                  <c:v>21.3</c:v>
                </c:pt>
                <c:pt idx="4">
                  <c:v>18364.299999999996</c:v>
                </c:pt>
                <c:pt idx="5">
                  <c:v>51912.79999999999</c:v>
                </c:pt>
                <c:pt idx="6">
                  <c:v>7367.499999999999</c:v>
                </c:pt>
                <c:pt idx="7">
                  <c:v>9737.29999999996</c:v>
                </c:pt>
              </c:numCache>
            </c:numRef>
          </c:val>
          <c:shape val="box"/>
        </c:ser>
        <c:shape val="box"/>
        <c:axId val="59536768"/>
        <c:axId val="66068865"/>
      </c:bar3DChart>
      <c:catAx>
        <c:axId val="59536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68865"/>
        <c:crosses val="autoZero"/>
        <c:auto val="1"/>
        <c:lblOffset val="100"/>
        <c:tickLblSkip val="1"/>
        <c:noMultiLvlLbl val="0"/>
      </c:catAx>
      <c:valAx>
        <c:axId val="66068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36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"/>
          <c:w val="0.929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425087.39999999997</c:v>
                </c:pt>
                <c:pt idx="1">
                  <c:v>227121.9</c:v>
                </c:pt>
                <c:pt idx="2">
                  <c:v>425087.39999999997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232887</c:v>
                </c:pt>
                <c:pt idx="1">
                  <c:v>148600.00000000003</c:v>
                </c:pt>
                <c:pt idx="2">
                  <c:v>232887</c:v>
                </c:pt>
              </c:numCache>
            </c:numRef>
          </c:val>
          <c:shape val="box"/>
        </c:ser>
        <c:shape val="box"/>
        <c:axId val="57748874"/>
        <c:axId val="49977819"/>
      </c:bar3DChart>
      <c:catAx>
        <c:axId val="57748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7819"/>
        <c:crosses val="autoZero"/>
        <c:auto val="1"/>
        <c:lblOffset val="100"/>
        <c:tickLblSkip val="1"/>
        <c:noMultiLvlLbl val="0"/>
      </c:catAx>
      <c:valAx>
        <c:axId val="49977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48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13175</c:v>
                </c:pt>
                <c:pt idx="1">
                  <c:v>7439.200000000002</c:v>
                </c:pt>
                <c:pt idx="2">
                  <c:v>59.6</c:v>
                </c:pt>
                <c:pt idx="3">
                  <c:v>990.7999999999998</c:v>
                </c:pt>
                <c:pt idx="4">
                  <c:v>328.69999999999993</c:v>
                </c:pt>
                <c:pt idx="5">
                  <c:v>34.2</c:v>
                </c:pt>
                <c:pt idx="6">
                  <c:v>4322.499999999998</c:v>
                </c:pt>
              </c:numCache>
            </c:numRef>
          </c:val>
          <c:shape val="box"/>
        </c:ser>
        <c:shape val="box"/>
        <c:axId val="47147188"/>
        <c:axId val="21671509"/>
      </c:bar3DChart>
      <c:catAx>
        <c:axId val="47147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71509"/>
        <c:crosses val="autoZero"/>
        <c:auto val="1"/>
        <c:lblOffset val="100"/>
        <c:tickLblSkip val="1"/>
        <c:noMultiLvlLbl val="0"/>
      </c:catAx>
      <c:valAx>
        <c:axId val="21671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47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525"/>
          <c:w val="0.8635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18773.399999999998</c:v>
                </c:pt>
                <c:pt idx="1">
                  <c:v>11094.300000000001</c:v>
                </c:pt>
                <c:pt idx="3">
                  <c:v>506.6</c:v>
                </c:pt>
                <c:pt idx="4">
                  <c:v>512.9000000000001</c:v>
                </c:pt>
                <c:pt idx="5">
                  <c:v>770</c:v>
                </c:pt>
                <c:pt idx="6">
                  <c:v>5889.599999999997</c:v>
                </c:pt>
              </c:numCache>
            </c:numRef>
          </c:val>
          <c:shape val="box"/>
        </c:ser>
        <c:shape val="box"/>
        <c:axId val="60825854"/>
        <c:axId val="10561775"/>
      </c:bar3DChart>
      <c:catAx>
        <c:axId val="60825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61775"/>
        <c:crosses val="autoZero"/>
        <c:auto val="1"/>
        <c:lblOffset val="100"/>
        <c:tickLblSkip val="2"/>
        <c:noMultiLvlLbl val="0"/>
      </c:catAx>
      <c:valAx>
        <c:axId val="10561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25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0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825"/>
          <c:w val="0.8775"/>
          <c:h val="0.68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9596.6</c:v>
                </c:pt>
                <c:pt idx="1">
                  <c:v>3119.7</c:v>
                </c:pt>
                <c:pt idx="2">
                  <c:v>393.09999999999997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2635</c:v>
                </c:pt>
                <c:pt idx="1">
                  <c:v>1760.5000000000005</c:v>
                </c:pt>
                <c:pt idx="2">
                  <c:v>220.7</c:v>
                </c:pt>
                <c:pt idx="3">
                  <c:v>224.19999999999993</c:v>
                </c:pt>
                <c:pt idx="4">
                  <c:v>136</c:v>
                </c:pt>
                <c:pt idx="5">
                  <c:v>293.5999999999996</c:v>
                </c:pt>
              </c:numCache>
            </c:numRef>
          </c:val>
          <c:shape val="box"/>
        </c:ser>
        <c:shape val="box"/>
        <c:axId val="27947112"/>
        <c:axId val="50197417"/>
      </c:bar3DChart>
      <c:catAx>
        <c:axId val="2794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97417"/>
        <c:crosses val="autoZero"/>
        <c:auto val="1"/>
        <c:lblOffset val="100"/>
        <c:tickLblSkip val="1"/>
        <c:noMultiLvlLbl val="0"/>
      </c:catAx>
      <c:valAx>
        <c:axId val="501974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71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6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45"/>
          <c:w val="0.85275"/>
          <c:h val="0.71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23375.699999999997</c:v>
                </c:pt>
              </c:numCache>
            </c:numRef>
          </c:val>
          <c:shape val="box"/>
        </c:ser>
        <c:shape val="box"/>
        <c:axId val="49123570"/>
        <c:axId val="39458947"/>
      </c:bar3DChart>
      <c:catAx>
        <c:axId val="49123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458947"/>
        <c:crosses val="autoZero"/>
        <c:auto val="1"/>
        <c:lblOffset val="100"/>
        <c:tickLblSkip val="1"/>
        <c:noMultiLvlLbl val="0"/>
      </c:catAx>
      <c:valAx>
        <c:axId val="39458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1235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5"/>
          <c:w val="0.85125"/>
          <c:h val="0.57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824987.8</c:v>
                </c:pt>
                <c:pt idx="1">
                  <c:v>425087.39999999997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9596.6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477772.2000000001</c:v>
                </c:pt>
                <c:pt idx="1">
                  <c:v>232887</c:v>
                </c:pt>
                <c:pt idx="2">
                  <c:v>13175</c:v>
                </c:pt>
                <c:pt idx="3">
                  <c:v>18773.399999999998</c:v>
                </c:pt>
                <c:pt idx="4">
                  <c:v>2635</c:v>
                </c:pt>
                <c:pt idx="5">
                  <c:v>123560.49999999996</c:v>
                </c:pt>
                <c:pt idx="6">
                  <c:v>23375.699999999997</c:v>
                </c:pt>
              </c:numCache>
            </c:numRef>
          </c:val>
          <c:shape val="box"/>
        </c:ser>
        <c:shape val="box"/>
        <c:axId val="19586204"/>
        <c:axId val="42058109"/>
      </c:bar3DChart>
      <c:catAx>
        <c:axId val="19586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58109"/>
        <c:crosses val="autoZero"/>
        <c:auto val="1"/>
        <c:lblOffset val="100"/>
        <c:tickLblSkip val="1"/>
        <c:noMultiLvlLbl val="0"/>
      </c:catAx>
      <c:valAx>
        <c:axId val="420581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6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2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36"/>
          <c:w val="0.8415"/>
          <c:h val="0.4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45948.3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1083299.2999999993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536965.0100000002</c:v>
                </c:pt>
                <c:pt idx="1">
                  <c:v>63349.599999999984</c:v>
                </c:pt>
                <c:pt idx="2">
                  <c:v>19192.599999999995</c:v>
                </c:pt>
                <c:pt idx="3">
                  <c:v>15576.800000000003</c:v>
                </c:pt>
                <c:pt idx="4">
                  <c:v>21.3</c:v>
                </c:pt>
                <c:pt idx="5">
                  <c:v>512424.89</c:v>
                </c:pt>
              </c:numCache>
            </c:numRef>
          </c:val>
          <c:shape val="box"/>
        </c:ser>
        <c:shape val="box"/>
        <c:axId val="42978662"/>
        <c:axId val="51263639"/>
      </c:bar3DChart>
      <c:catAx>
        <c:axId val="4297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263639"/>
        <c:crosses val="autoZero"/>
        <c:auto val="1"/>
        <c:lblOffset val="100"/>
        <c:tickLblSkip val="1"/>
        <c:noMultiLvlLbl val="0"/>
      </c:catAx>
      <c:valAx>
        <c:axId val="51263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78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28" sqref="I128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73" t="s">
        <v>112</v>
      </c>
      <c r="B1" s="173"/>
      <c r="C1" s="173"/>
      <c r="D1" s="173"/>
      <c r="E1" s="173"/>
      <c r="F1" s="173"/>
      <c r="G1" s="173"/>
      <c r="H1" s="173"/>
      <c r="I1" s="173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7" t="s">
        <v>40</v>
      </c>
      <c r="B3" s="180" t="s">
        <v>109</v>
      </c>
      <c r="C3" s="174" t="s">
        <v>106</v>
      </c>
      <c r="D3" s="174" t="s">
        <v>22</v>
      </c>
      <c r="E3" s="174" t="s">
        <v>21</v>
      </c>
      <c r="F3" s="174" t="s">
        <v>110</v>
      </c>
      <c r="G3" s="174" t="s">
        <v>107</v>
      </c>
      <c r="H3" s="174" t="s">
        <v>111</v>
      </c>
      <c r="I3" s="174" t="s">
        <v>108</v>
      </c>
    </row>
    <row r="4" spans="1:9" ht="24.75" customHeight="1">
      <c r="A4" s="178"/>
      <c r="B4" s="181"/>
      <c r="C4" s="175"/>
      <c r="D4" s="175"/>
      <c r="E4" s="175"/>
      <c r="F4" s="175"/>
      <c r="G4" s="175"/>
      <c r="H4" s="175"/>
      <c r="I4" s="175"/>
    </row>
    <row r="5" spans="1:10" ht="39" customHeight="1" thickBot="1">
      <c r="A5" s="179"/>
      <c r="B5" s="182"/>
      <c r="C5" s="176"/>
      <c r="D5" s="176"/>
      <c r="E5" s="176"/>
      <c r="F5" s="176"/>
      <c r="G5" s="176"/>
      <c r="H5" s="176"/>
      <c r="I5" s="176"/>
      <c r="J5" s="94"/>
    </row>
    <row r="6" spans="1:11" ht="18" thickBot="1">
      <c r="A6" s="20" t="s">
        <v>26</v>
      </c>
      <c r="B6" s="39">
        <v>548666.3</v>
      </c>
      <c r="C6" s="40">
        <f>826775+13431.5+510-13431.5+16-2334+20.8</f>
        <v>824987.8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+31363.2+8511.9+2.4-0.5-1.1+1748.2+179.9+491.9+261.6+360.8+4.6+9436.7+764+333+923.2+3162.3+23.8+747.2+396.8+17.7+154+1415.7+10486.2+120.4+12+196.9+302.6+3.4</f>
        <v>477772.2000000001</v>
      </c>
      <c r="E6" s="3">
        <f>D6/D154*100</f>
        <v>41.63482581983464</v>
      </c>
      <c r="F6" s="3">
        <f>D6/B6*100</f>
        <v>87.07883097613251</v>
      </c>
      <c r="G6" s="3">
        <f aca="true" t="shared" si="0" ref="G6:G43">D6/C6*100</f>
        <v>57.91263822325617</v>
      </c>
      <c r="H6" s="41">
        <f>B6-D6</f>
        <v>70894.09999999992</v>
      </c>
      <c r="I6" s="41">
        <f aca="true" t="shared" si="1" ref="I6:I43">C6-D6</f>
        <v>347215.5999999999</v>
      </c>
      <c r="J6" s="168"/>
      <c r="K6" s="154"/>
    </row>
    <row r="7" spans="1:12" s="95" customFormat="1" ht="18">
      <c r="A7" s="141" t="s">
        <v>81</v>
      </c>
      <c r="B7" s="142">
        <v>181800.7</v>
      </c>
      <c r="C7" s="143">
        <v>262517.6</v>
      </c>
      <c r="D7" s="144">
        <f>8282.7+10875.2+9132.6+9963.6+4.3+9215.1+9968.6+9459.9+11450.4+9572.3+23759.4-0.1+3644+36528.9+8511.9+179.9+764+816.4</f>
        <v>162129.09999999998</v>
      </c>
      <c r="E7" s="145">
        <f>D7/D6*100</f>
        <v>33.93439383873736</v>
      </c>
      <c r="F7" s="145">
        <f>D7/B7*100</f>
        <v>89.17957961658011</v>
      </c>
      <c r="G7" s="145">
        <f>D7/C7*100</f>
        <v>61.75932585091437</v>
      </c>
      <c r="H7" s="144">
        <f>B7-D7</f>
        <v>19671.600000000035</v>
      </c>
      <c r="I7" s="144">
        <f t="shared" si="1"/>
        <v>100388.5</v>
      </c>
      <c r="J7" s="169"/>
      <c r="K7" s="154"/>
      <c r="L7" s="140"/>
    </row>
    <row r="8" spans="1:12" s="94" customFormat="1" ht="17.25">
      <c r="A8" s="103" t="s">
        <v>3</v>
      </c>
      <c r="B8" s="127">
        <v>440014.4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18784.8+17058.5+10875.2+340.5+963.8+9132.6+10728.8+20670.9+9963.6+30.7+4.3+37.1+20227.5+2+9968.6+19814.4+11230.1+9459.9+20.4+27982.6+1967.7+0.6+48.1+3.5+9572.3+12806.6+0.7+22472.9+23759.4-0.1+211.9+3644+36528.9+19638.7+2+31336+8511.9+2.3+1748.2+179.9+9436.7+764+10205.6+196.9+34</f>
        <v>390369.0000000002</v>
      </c>
      <c r="E8" s="107">
        <f>D8/D6*100</f>
        <v>81.70609340602071</v>
      </c>
      <c r="F8" s="107">
        <f>D8/B8*100</f>
        <v>88.71732379667579</v>
      </c>
      <c r="G8" s="107">
        <f t="shared" si="0"/>
        <v>59.540380094241144</v>
      </c>
      <c r="H8" s="105">
        <f>B8-D8</f>
        <v>49645.39999999985</v>
      </c>
      <c r="I8" s="105">
        <f t="shared" si="1"/>
        <v>265268.39999999985</v>
      </c>
      <c r="J8" s="168"/>
      <c r="K8" s="154"/>
      <c r="L8" s="140"/>
    </row>
    <row r="9" spans="1:12" s="94" customFormat="1" ht="17.25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0.004458191581678464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8"/>
      <c r="K9" s="154"/>
      <c r="L9" s="140"/>
    </row>
    <row r="10" spans="1:12" s="94" customFormat="1" ht="17.25">
      <c r="A10" s="103" t="s">
        <v>1</v>
      </c>
      <c r="B10" s="127">
        <v>27212.5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+1.8+66.6+594.1+2621.1+74.9+4.8+9.1</f>
        <v>18364.299999999996</v>
      </c>
      <c r="E10" s="107">
        <f>D10/D6*100</f>
        <v>3.8437355710524783</v>
      </c>
      <c r="F10" s="107">
        <f aca="true" t="shared" si="3" ref="F10:F41">D10/B10*100</f>
        <v>67.48479559026181</v>
      </c>
      <c r="G10" s="107">
        <f t="shared" si="0"/>
        <v>41.37818375182506</v>
      </c>
      <c r="H10" s="105">
        <f t="shared" si="2"/>
        <v>8848.200000000004</v>
      </c>
      <c r="I10" s="105">
        <f t="shared" si="1"/>
        <v>26017.30000000001</v>
      </c>
      <c r="J10" s="168"/>
      <c r="K10" s="154"/>
      <c r="L10" s="140"/>
    </row>
    <row r="11" spans="1:12" s="94" customFormat="1" ht="17.25">
      <c r="A11" s="103" t="s">
        <v>0</v>
      </c>
      <c r="B11" s="127">
        <v>53836.4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+1.8+0.2-1.1+52.2+29.8+4.3+265.7+13.7+1.7+14.9+105.3+347.5+13.9+4.3+12.7+163.4+30.5+0.4</f>
        <v>51912.79999999999</v>
      </c>
      <c r="E11" s="107">
        <f>D11/D6*100</f>
        <v>10.865596616965151</v>
      </c>
      <c r="F11" s="107">
        <f t="shared" si="3"/>
        <v>96.42695276801567</v>
      </c>
      <c r="G11" s="107">
        <f t="shared" si="0"/>
        <v>58.87647381720355</v>
      </c>
      <c r="H11" s="105">
        <f t="shared" si="2"/>
        <v>1923.600000000013</v>
      </c>
      <c r="I11" s="105">
        <f t="shared" si="1"/>
        <v>36259.600000000006</v>
      </c>
      <c r="J11" s="168"/>
      <c r="K11" s="154"/>
      <c r="L11" s="140"/>
    </row>
    <row r="12" spans="1:12" s="94" customFormat="1" ht="17.25">
      <c r="A12" s="103" t="s">
        <v>14</v>
      </c>
      <c r="B12" s="127">
        <v>8087.4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874.5+251.8+346.3+159.7+538.5+10.6+57+168.9+31.7+165.3+10.6+439.5+199.1+10.6+10.6+19+325.9+10.6+160.6+453.5-0.1+21.1+21.1+563.9+19+160.9+282.3+19+21.1+523.5+168.9+208.4+214.2+11+120.2+238.1+77.3+88.4+143.6+33.1+97.5+90.7</f>
        <v>7367.499999999999</v>
      </c>
      <c r="E12" s="107">
        <f>D12/D6*100</f>
        <v>1.5420528862918348</v>
      </c>
      <c r="F12" s="107">
        <f t="shared" si="3"/>
        <v>91.09849889952271</v>
      </c>
      <c r="G12" s="107">
        <f t="shared" si="0"/>
        <v>57.83875019626314</v>
      </c>
      <c r="H12" s="105">
        <f>B12-D12</f>
        <v>719.9000000000005</v>
      </c>
      <c r="I12" s="105">
        <f t="shared" si="1"/>
        <v>5370.500000000001</v>
      </c>
      <c r="J12" s="168"/>
      <c r="K12" s="154"/>
      <c r="L12" s="140"/>
    </row>
    <row r="13" spans="1:12" s="94" customFormat="1" ht="18" thickBot="1">
      <c r="A13" s="103" t="s">
        <v>27</v>
      </c>
      <c r="B13" s="128">
        <f>B6-B8-B9-B10-B11-B12</f>
        <v>19484.800000000017</v>
      </c>
      <c r="C13" s="128">
        <f>C6-C8-C9-C10-C11-C12</f>
        <v>23960.70000000001</v>
      </c>
      <c r="D13" s="128">
        <f>D6-D8-D9-D10-D11-D12</f>
        <v>9737.29999999996</v>
      </c>
      <c r="E13" s="107">
        <f>D13/D6*100</f>
        <v>2.0380633280881466</v>
      </c>
      <c r="F13" s="107">
        <f t="shared" si="3"/>
        <v>49.97382575135465</v>
      </c>
      <c r="G13" s="107">
        <f t="shared" si="0"/>
        <v>40.63862908846551</v>
      </c>
      <c r="H13" s="105">
        <f t="shared" si="2"/>
        <v>9747.500000000058</v>
      </c>
      <c r="I13" s="105">
        <f t="shared" si="1"/>
        <v>14223.400000000052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95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95"/>
      <c r="K15" s="11"/>
      <c r="L15" s="11"/>
      <c r="M15" s="11"/>
    </row>
    <row r="16" spans="1:13" s="32" customFormat="1" ht="18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95"/>
      <c r="K16" s="11"/>
      <c r="L16" s="11"/>
      <c r="M16" s="11"/>
    </row>
    <row r="17" spans="1:13" s="32" customFormat="1" ht="18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95"/>
      <c r="K17" s="11"/>
      <c r="L17" s="11"/>
      <c r="M17" s="11"/>
    </row>
    <row r="18" spans="1:11" ht="18" thickBot="1">
      <c r="A18" s="20" t="s">
        <v>19</v>
      </c>
      <c r="B18" s="39">
        <v>271713.4</v>
      </c>
      <c r="C18" s="40">
        <f>424151.5+750.3+185.6</f>
        <v>425087.39999999997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+111.7+213.2+173.4+378.8+383.4+338+205.3+188.2+217.6+9373.5+8656.4+0.2+601.1+5.5+990.7+759.8+0.1+513.6+9223.7+482.3+471.7+91.5+98.7+181.5+1347.7+130.7+313.8+13322.8+260.4+63.4</f>
        <v>232887</v>
      </c>
      <c r="E18" s="3">
        <f>D18/D154*100</f>
        <v>20.29462928295917</v>
      </c>
      <c r="F18" s="3">
        <f>D18/B18*100</f>
        <v>85.71053175883118</v>
      </c>
      <c r="G18" s="3">
        <f t="shared" si="0"/>
        <v>54.785674663610365</v>
      </c>
      <c r="H18" s="41">
        <f>B18-D18</f>
        <v>38826.40000000002</v>
      </c>
      <c r="I18" s="41">
        <f t="shared" si="1"/>
        <v>192200.39999999997</v>
      </c>
      <c r="J18" s="94"/>
      <c r="K18" s="154"/>
    </row>
    <row r="19" spans="1:13" s="95" customFormat="1" ht="18">
      <c r="A19" s="141" t="s">
        <v>82</v>
      </c>
      <c r="B19" s="142">
        <v>164342.7</v>
      </c>
      <c r="C19" s="143">
        <f>226186+750.3+185.6</f>
        <v>227121.9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+213.2+378.8+338+188.2+8873.9+0.1+759.8+9223.7+471.7+98.7+181.5+703.8+66.7+294.4+3894+0.2+260.2</f>
        <v>148600.00000000003</v>
      </c>
      <c r="E19" s="145">
        <f>D19/D18*100</f>
        <v>63.80776943324447</v>
      </c>
      <c r="F19" s="145">
        <f t="shared" si="3"/>
        <v>90.42080968610107</v>
      </c>
      <c r="G19" s="145">
        <f t="shared" si="0"/>
        <v>65.42742025317683</v>
      </c>
      <c r="H19" s="144">
        <f t="shared" si="2"/>
        <v>15742.699999999983</v>
      </c>
      <c r="I19" s="144">
        <f t="shared" si="1"/>
        <v>78521.89999999997</v>
      </c>
      <c r="J19" s="169"/>
      <c r="K19" s="154"/>
      <c r="L19" s="94"/>
      <c r="M19" s="94"/>
    </row>
    <row r="20" spans="1:11" s="94" customFormat="1" ht="17.25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>
        <f>C20-B20</f>
        <v>0</v>
      </c>
    </row>
    <row r="21" spans="1:11" s="94" customFormat="1" ht="17.25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>
        <f>C21-B21</f>
        <v>0</v>
      </c>
    </row>
    <row r="22" spans="1:11" s="94" customFormat="1" ht="17.25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>
        <f>C22-B22</f>
        <v>0</v>
      </c>
    </row>
    <row r="23" spans="1:11" s="94" customFormat="1" ht="17.25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>
        <f>C23-B23</f>
        <v>0</v>
      </c>
    </row>
    <row r="24" spans="1:11" s="94" customFormat="1" ht="17.25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>
        <f>C24-B24</f>
        <v>0</v>
      </c>
    </row>
    <row r="25" spans="1:11" s="94" customFormat="1" ht="18" thickBot="1">
      <c r="A25" s="103" t="s">
        <v>27</v>
      </c>
      <c r="B25" s="128">
        <f>B18</f>
        <v>271713.4</v>
      </c>
      <c r="C25" s="128">
        <f>C18</f>
        <v>425087.39999999997</v>
      </c>
      <c r="D25" s="128">
        <f>D18</f>
        <v>232887</v>
      </c>
      <c r="E25" s="107">
        <f>D25/D18*100</f>
        <v>100</v>
      </c>
      <c r="F25" s="107">
        <f t="shared" si="3"/>
        <v>85.71053175883118</v>
      </c>
      <c r="G25" s="107">
        <f t="shared" si="0"/>
        <v>54.785674663610365</v>
      </c>
      <c r="H25" s="105">
        <f t="shared" si="2"/>
        <v>38826.40000000002</v>
      </c>
      <c r="I25" s="105">
        <f t="shared" si="1"/>
        <v>192200.39999999997</v>
      </c>
      <c r="K25" s="154"/>
    </row>
    <row r="26" spans="1:11" ht="54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>
        <f aca="true" t="shared" si="4" ref="K26:K32">C26-B26</f>
        <v>0</v>
      </c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>
        <f t="shared" si="4"/>
        <v>0</v>
      </c>
    </row>
    <row r="28" spans="1:11" ht="18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>
        <f t="shared" si="4"/>
        <v>0</v>
      </c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>
        <f t="shared" si="4"/>
        <v>0</v>
      </c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>
        <f t="shared" si="4"/>
        <v>0</v>
      </c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>
        <f t="shared" si="4"/>
        <v>0</v>
      </c>
    </row>
    <row r="32" spans="1:11" ht="18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>
        <f t="shared" si="4"/>
        <v>0</v>
      </c>
    </row>
    <row r="33" spans="1:11" ht="18" thickBot="1">
      <c r="A33" s="20" t="s">
        <v>17</v>
      </c>
      <c r="B33" s="39">
        <v>15996.6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+662.9+45.8+153.2+95.1+201.6+8.9+10.4+89.8+488.7+19+6.2+185.8+0.6+16.9+1+24.9+624.5+95.1+221.7+9.9</f>
        <v>13175</v>
      </c>
      <c r="E33" s="3">
        <f>D33/D154*100</f>
        <v>1.1481179318853654</v>
      </c>
      <c r="F33" s="3">
        <f>D33/B33*100</f>
        <v>82.36125176600028</v>
      </c>
      <c r="G33" s="3">
        <f t="shared" si="0"/>
        <v>53.15093251142695</v>
      </c>
      <c r="H33" s="41">
        <f t="shared" si="2"/>
        <v>2821.6000000000004</v>
      </c>
      <c r="I33" s="41">
        <f t="shared" si="1"/>
        <v>11612.899999999998</v>
      </c>
      <c r="J33" s="170"/>
      <c r="K33" s="154"/>
    </row>
    <row r="34" spans="1:11" s="94" customFormat="1" ht="17.25">
      <c r="A34" s="103" t="s">
        <v>3</v>
      </c>
      <c r="B34" s="127">
        <v>8702.6</v>
      </c>
      <c r="C34" s="128">
        <v>12906.6</v>
      </c>
      <c r="D34" s="105">
        <f>364.6+548.1+389.3+522.2+63+395+556.7+63+391.3+512.8+63+394.6+664.3+89.8+0.3+456.7+632.3+12+89.8+485+19+3.6+623.1+89.8+9.9</f>
        <v>7439.200000000002</v>
      </c>
      <c r="E34" s="107">
        <f>D34/D33*100</f>
        <v>56.46451612903227</v>
      </c>
      <c r="F34" s="107">
        <f t="shared" si="3"/>
        <v>85.48249948291317</v>
      </c>
      <c r="G34" s="107">
        <f t="shared" si="0"/>
        <v>57.63872747276588</v>
      </c>
      <c r="H34" s="105">
        <f t="shared" si="2"/>
        <v>1263.3999999999987</v>
      </c>
      <c r="I34" s="105">
        <f t="shared" si="1"/>
        <v>5467.399999999999</v>
      </c>
      <c r="J34" s="168"/>
      <c r="K34" s="154"/>
    </row>
    <row r="35" spans="1:11" s="94" customFormat="1" ht="17.25">
      <c r="A35" s="103" t="s">
        <v>1</v>
      </c>
      <c r="B35" s="127">
        <v>59.646</v>
      </c>
      <c r="C35" s="128">
        <v>81.1</v>
      </c>
      <c r="D35" s="105">
        <f>6.8+8.7+11.6+32.5</f>
        <v>59.6</v>
      </c>
      <c r="E35" s="107">
        <f>D35/D33*100</f>
        <v>0.45237191650853886</v>
      </c>
      <c r="F35" s="107">
        <f t="shared" si="3"/>
        <v>99.92287831539416</v>
      </c>
      <c r="G35" s="107">
        <f t="shared" si="0"/>
        <v>73.48951911220716</v>
      </c>
      <c r="H35" s="105">
        <f t="shared" si="2"/>
        <v>0.045999999999999375</v>
      </c>
      <c r="I35" s="105">
        <f t="shared" si="1"/>
        <v>21.499999999999993</v>
      </c>
      <c r="J35" s="168"/>
      <c r="K35" s="154"/>
    </row>
    <row r="36" spans="1:11" s="94" customFormat="1" ht="17.25">
      <c r="A36" s="103" t="s">
        <v>0</v>
      </c>
      <c r="B36" s="127">
        <v>1055.7</v>
      </c>
      <c r="C36" s="128">
        <v>1783</v>
      </c>
      <c r="D36" s="105">
        <f>0.3+11.3+141.7+12.6+0.9+12.9+1.3+0.5+169.4+1.1+0.1+0.4+11.3+166.1+3.8+5.1+2.9+0.2+0.5+11.9+319.9+44.3+12.2+0.9-0.2+8.4+29.5+8.6+0.2+7.6+0.4+4.3+0.1+0.3</f>
        <v>990.7999999999998</v>
      </c>
      <c r="E36" s="107">
        <f>D36/D33*100</f>
        <v>7.520303605313091</v>
      </c>
      <c r="F36" s="107">
        <f t="shared" si="3"/>
        <v>93.85242019513117</v>
      </c>
      <c r="G36" s="107">
        <f t="shared" si="0"/>
        <v>55.56926528323051</v>
      </c>
      <c r="H36" s="105">
        <f t="shared" si="2"/>
        <v>64.9000000000002</v>
      </c>
      <c r="I36" s="105">
        <f t="shared" si="1"/>
        <v>792.2000000000002</v>
      </c>
      <c r="J36" s="168"/>
      <c r="K36" s="154"/>
    </row>
    <row r="37" spans="1:12" s="95" customFormat="1" ht="17.25">
      <c r="A37" s="118" t="s">
        <v>7</v>
      </c>
      <c r="B37" s="138">
        <v>536.5</v>
      </c>
      <c r="C37" s="139">
        <v>1008</v>
      </c>
      <c r="D37" s="109">
        <f>44.8+25.1+1.6+0.5+2.7+1+6.3+8.5+2.5+36.6+1.5+4.5+23.6+4.1+106.1+32.6+9.7+2.5+4.3+1.9+2.2+5.9+0.2</f>
        <v>328.69999999999993</v>
      </c>
      <c r="E37" s="113">
        <f>D37/D33*100</f>
        <v>2.4948766603415553</v>
      </c>
      <c r="F37" s="113">
        <f t="shared" si="3"/>
        <v>61.267474370922635</v>
      </c>
      <c r="G37" s="113">
        <f t="shared" si="0"/>
        <v>32.60912698412698</v>
      </c>
      <c r="H37" s="109">
        <f t="shared" si="2"/>
        <v>207.80000000000007</v>
      </c>
      <c r="I37" s="109">
        <f t="shared" si="1"/>
        <v>679.3000000000001</v>
      </c>
      <c r="J37" s="169"/>
      <c r="K37" s="154"/>
      <c r="L37" s="140"/>
    </row>
    <row r="38" spans="1:11" s="94" customFormat="1" ht="17.25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0.2595825426944972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J38" s="168"/>
      <c r="K38" s="154"/>
    </row>
    <row r="39" spans="1:11" s="94" customFormat="1" ht="18" thickBot="1">
      <c r="A39" s="103" t="s">
        <v>27</v>
      </c>
      <c r="B39" s="127">
        <f>B33-B34-B36-B37-B35-B38</f>
        <v>5607.954000000001</v>
      </c>
      <c r="C39" s="127">
        <f>C33-C34-C36-C37-C35-C38</f>
        <v>8919.699999999997</v>
      </c>
      <c r="D39" s="127">
        <f>D33-D34-D36-D37-D35-D38</f>
        <v>4322.499999999998</v>
      </c>
      <c r="E39" s="107">
        <f>D39/D33*100</f>
        <v>32.80834914611005</v>
      </c>
      <c r="F39" s="107">
        <f t="shared" si="3"/>
        <v>77.07802168134756</v>
      </c>
      <c r="G39" s="107">
        <f t="shared" si="0"/>
        <v>48.46015000504501</v>
      </c>
      <c r="H39" s="105">
        <f>B39-D39</f>
        <v>1285.4540000000025</v>
      </c>
      <c r="I39" s="105">
        <f t="shared" si="1"/>
        <v>4597.199999999999</v>
      </c>
      <c r="J39" s="168"/>
      <c r="K39" s="154"/>
    </row>
    <row r="40" spans="1:11" ht="18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168"/>
      <c r="K40" s="154">
        <f>C40-B40</f>
        <v>0</v>
      </c>
    </row>
    <row r="41" spans="1:11" ht="18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168"/>
      <c r="K41" s="154">
        <f>C41-B41</f>
        <v>0</v>
      </c>
    </row>
    <row r="42" spans="1:11" ht="18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168"/>
      <c r="K42" s="154">
        <f>C42-B42</f>
        <v>0</v>
      </c>
    </row>
    <row r="43" spans="1:11" ht="18" thickBot="1">
      <c r="A43" s="12" t="s">
        <v>16</v>
      </c>
      <c r="B43" s="77">
        <v>1342.7</v>
      </c>
      <c r="C43" s="40">
        <f>1126.9+467</f>
        <v>1593.9</v>
      </c>
      <c r="D43" s="41">
        <f>63.9+1.1+0.6+70.8+0.5+48+6.7+2+13.7+10.4+20.2+0.7+37.4+27+181.7+0.2+2.1+7.5+10+0.2</f>
        <v>504.69999999999993</v>
      </c>
      <c r="E43" s="3">
        <f>D43/D154*100</f>
        <v>0.04398141329962382</v>
      </c>
      <c r="F43" s="3">
        <f>D43/B43*100</f>
        <v>37.58844120056602</v>
      </c>
      <c r="G43" s="3">
        <f t="shared" si="0"/>
        <v>31.66447079490557</v>
      </c>
      <c r="H43" s="41">
        <f t="shared" si="2"/>
        <v>838.0000000000001</v>
      </c>
      <c r="I43" s="41">
        <f t="shared" si="1"/>
        <v>1089.2000000000003</v>
      </c>
      <c r="J43" s="168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" thickBot="1">
      <c r="A45" s="20" t="s">
        <v>44</v>
      </c>
      <c r="B45" s="39">
        <v>9036</v>
      </c>
      <c r="C45" s="40">
        <v>13576.3</v>
      </c>
      <c r="D45" s="41">
        <f>237.1+562.8+52.3+349.2+679.9+375.9+891+78.3+327.4+13.5+670.2+386.5+179.9+781.7-0.1+25.5+366.5+16.5+692.2+3.8+389.3+707.6+15.1</f>
        <v>7802.1</v>
      </c>
      <c r="E45" s="3">
        <f>D45/D154*100</f>
        <v>0.6799036748662475</v>
      </c>
      <c r="F45" s="3">
        <f>D45/B45*100</f>
        <v>86.34462151394423</v>
      </c>
      <c r="G45" s="3">
        <f aca="true" t="shared" si="5" ref="G45:G76">D45/C45*100</f>
        <v>57.468529717227824</v>
      </c>
      <c r="H45" s="41">
        <f>B45-D45</f>
        <v>1233.8999999999996</v>
      </c>
      <c r="I45" s="41">
        <f aca="true" t="shared" si="6" ref="I45:I77">C45-D45</f>
        <v>5774.199999999999</v>
      </c>
      <c r="J45" s="168"/>
      <c r="K45" s="154"/>
    </row>
    <row r="46" spans="1:11" s="94" customFormat="1" ht="17.25">
      <c r="A46" s="103" t="s">
        <v>3</v>
      </c>
      <c r="B46" s="127">
        <v>8180.6</v>
      </c>
      <c r="C46" s="128">
        <v>12256.4</v>
      </c>
      <c r="D46" s="105">
        <f>237.1+551.8+334.1+652.5+314.7+746.1+319.2+661.7+342.8+781.7+0.2-0.1+366.5+692.2+367.7+697.1+14.1</f>
        <v>7079.4</v>
      </c>
      <c r="E46" s="107">
        <f>D46/D45*100</f>
        <v>90.73710923982003</v>
      </c>
      <c r="F46" s="107">
        <f aca="true" t="shared" si="7" ref="F46:F74">D46/B46*100</f>
        <v>86.53888467838544</v>
      </c>
      <c r="G46" s="107">
        <f t="shared" si="5"/>
        <v>57.76084331451323</v>
      </c>
      <c r="H46" s="105">
        <f aca="true" t="shared" si="8" ref="H46:H74">B46-D46</f>
        <v>1101.2000000000007</v>
      </c>
      <c r="I46" s="105">
        <f t="shared" si="6"/>
        <v>5177</v>
      </c>
      <c r="J46" s="168"/>
      <c r="K46" s="154"/>
    </row>
    <row r="47" spans="1:11" s="94" customFormat="1" ht="17.25">
      <c r="A47" s="103" t="s">
        <v>2</v>
      </c>
      <c r="B47" s="127">
        <v>0.758</v>
      </c>
      <c r="C47" s="128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0.758</v>
      </c>
      <c r="I47" s="105">
        <f t="shared" si="6"/>
        <v>1.5</v>
      </c>
      <c r="J47" s="168"/>
      <c r="K47" s="154"/>
    </row>
    <row r="48" spans="1:11" s="94" customFormat="1" ht="17.25">
      <c r="A48" s="103" t="s">
        <v>1</v>
      </c>
      <c r="B48" s="127">
        <v>58.56</v>
      </c>
      <c r="C48" s="128">
        <v>98.9</v>
      </c>
      <c r="D48" s="105">
        <f>5.7+6.1+6.5+7.7+8.4+7</f>
        <v>41.4</v>
      </c>
      <c r="E48" s="107">
        <f>D48/D45*100</f>
        <v>0.530626369823509</v>
      </c>
      <c r="F48" s="107">
        <f t="shared" si="7"/>
        <v>70.69672131147541</v>
      </c>
      <c r="G48" s="107">
        <f t="shared" si="5"/>
        <v>41.860465116279066</v>
      </c>
      <c r="H48" s="105">
        <f t="shared" si="8"/>
        <v>17.160000000000004</v>
      </c>
      <c r="I48" s="105">
        <f t="shared" si="6"/>
        <v>57.50000000000001</v>
      </c>
      <c r="J48" s="168"/>
      <c r="K48" s="154"/>
    </row>
    <row r="49" spans="1:11" s="94" customFormat="1" ht="17.25">
      <c r="A49" s="103" t="s">
        <v>0</v>
      </c>
      <c r="B49" s="127">
        <v>575.3</v>
      </c>
      <c r="C49" s="128">
        <v>879.8</v>
      </c>
      <c r="D49" s="105">
        <f>7.3+51.9+12.7-0.1+54.5+131.2+49.5+2.4+7.9+11.2+178.3+0.4+4.1+0.1+0.6+1.4+0.5</f>
        <v>513.9</v>
      </c>
      <c r="E49" s="107">
        <f>D49/D45*100</f>
        <v>6.58668819933095</v>
      </c>
      <c r="F49" s="107">
        <f t="shared" si="7"/>
        <v>89.32730749174344</v>
      </c>
      <c r="G49" s="107">
        <f t="shared" si="5"/>
        <v>58.41100250056831</v>
      </c>
      <c r="H49" s="105">
        <f t="shared" si="8"/>
        <v>61.39999999999998</v>
      </c>
      <c r="I49" s="105">
        <f t="shared" si="6"/>
        <v>365.9</v>
      </c>
      <c r="J49" s="168"/>
      <c r="K49" s="154"/>
    </row>
    <row r="50" spans="1:11" s="94" customFormat="1" ht="18" thickBot="1">
      <c r="A50" s="103" t="s">
        <v>27</v>
      </c>
      <c r="B50" s="128">
        <f>B45-B46-B49-B48-B47</f>
        <v>220.78199999999967</v>
      </c>
      <c r="C50" s="128">
        <f>C45-C46-C49-C48-C47</f>
        <v>339.6999999999997</v>
      </c>
      <c r="D50" s="128">
        <f>D45-D46-D49-D48-D47</f>
        <v>167.40000000000074</v>
      </c>
      <c r="E50" s="107">
        <f>D50/D45*100</f>
        <v>2.1455761910255022</v>
      </c>
      <c r="F50" s="107">
        <f t="shared" si="7"/>
        <v>75.82139848357248</v>
      </c>
      <c r="G50" s="107">
        <f t="shared" si="5"/>
        <v>49.278775390050306</v>
      </c>
      <c r="H50" s="105">
        <f t="shared" si="8"/>
        <v>53.381999999998925</v>
      </c>
      <c r="I50" s="105">
        <f t="shared" si="6"/>
        <v>172.29999999999896</v>
      </c>
      <c r="J50" s="168"/>
      <c r="K50" s="154"/>
    </row>
    <row r="51" spans="1:11" ht="18" thickBot="1">
      <c r="A51" s="20" t="s">
        <v>4</v>
      </c>
      <c r="B51" s="39">
        <v>24788.3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+892+0.2+14.5+53.1+4.7+6.6+3+10.5+814.6+17.2+439+12.3+117.7+250.8+97.8+751.4+316.3+7.6+22+30.7+0.2+429.7</f>
        <v>18773.399999999998</v>
      </c>
      <c r="E51" s="3">
        <f>D51/D154*100</f>
        <v>1.6359830878525021</v>
      </c>
      <c r="F51" s="3">
        <f>D51/B51*100</f>
        <v>75.73492333076491</v>
      </c>
      <c r="G51" s="3">
        <f t="shared" si="5"/>
        <v>50.521267835325645</v>
      </c>
      <c r="H51" s="41">
        <f>B51-D51</f>
        <v>6014.9000000000015</v>
      </c>
      <c r="I51" s="41">
        <f t="shared" si="6"/>
        <v>18386.000000000004</v>
      </c>
      <c r="J51" s="168"/>
      <c r="K51" s="154"/>
    </row>
    <row r="52" spans="1:11" s="94" customFormat="1" ht="17.25">
      <c r="A52" s="103" t="s">
        <v>3</v>
      </c>
      <c r="B52" s="127">
        <v>13345</v>
      </c>
      <c r="C52" s="128">
        <v>20097.4</v>
      </c>
      <c r="D52" s="105">
        <f>632.9+34.3+767.3+737.6+710.6+649.6+792.4+1.6+643.1+825.6+650.1+947+1196.1+785.4+658.1+439+623.6</f>
        <v>11094.300000000001</v>
      </c>
      <c r="E52" s="107">
        <f>D52/D51*100</f>
        <v>59.09584838122025</v>
      </c>
      <c r="F52" s="107">
        <f t="shared" si="7"/>
        <v>83.13450730610717</v>
      </c>
      <c r="G52" s="107">
        <f t="shared" si="5"/>
        <v>55.202663031038846</v>
      </c>
      <c r="H52" s="105">
        <f t="shared" si="8"/>
        <v>2250.699999999999</v>
      </c>
      <c r="I52" s="105">
        <f t="shared" si="6"/>
        <v>9003.1</v>
      </c>
      <c r="J52" s="168"/>
      <c r="K52" s="154"/>
    </row>
    <row r="53" spans="1:11" s="94" customFormat="1" ht="17.25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J53" s="168"/>
      <c r="K53" s="154"/>
    </row>
    <row r="54" spans="1:11" s="94" customFormat="1" ht="17.25">
      <c r="A54" s="103" t="s">
        <v>1</v>
      </c>
      <c r="B54" s="127">
        <v>626.2</v>
      </c>
      <c r="C54" s="128">
        <v>993.6</v>
      </c>
      <c r="D54" s="105">
        <f>0.2+4.2+9+4.7+9.6+6.3+43.2+2.7+18.4+3.8+23.8+5.3+12.2+43.2+26.7+3.8+22.4+0.4+59.7+30.3+3.3+19.2+7+2.9+21+4.4-0.4+4.8+2.2+3.6+32.5+6.4+7.8+23.5+0.7+4.2+10.2+2.2+1.8+2+15.6+1.8</f>
        <v>506.6</v>
      </c>
      <c r="E54" s="107">
        <f>D54/D51*100</f>
        <v>2.69849893998956</v>
      </c>
      <c r="F54" s="107">
        <f t="shared" si="7"/>
        <v>80.90067071223251</v>
      </c>
      <c r="G54" s="107">
        <f t="shared" si="5"/>
        <v>50.98631239935588</v>
      </c>
      <c r="H54" s="105">
        <f t="shared" si="8"/>
        <v>119.60000000000002</v>
      </c>
      <c r="I54" s="105">
        <f t="shared" si="6"/>
        <v>487</v>
      </c>
      <c r="J54" s="168"/>
      <c r="K54" s="154"/>
    </row>
    <row r="55" spans="1:11" s="94" customFormat="1" ht="17.25">
      <c r="A55" s="103" t="s">
        <v>0</v>
      </c>
      <c r="B55" s="127">
        <v>669.5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0.5+1+2.8+12.3+8.3+0.5+0.4+8.7+15+0.3+1.3+64.9+33.6+8.1+0.1+94.7+0.3+9.8+7.8+0.9+1.8+16.2+18.3+3.3+0.1+11.4+0.1+11.4+1.3+76.9+6.2+11.6+2.1+2.4+24+0.1+0.5+16.3+2.5+1.1+3.8+2.1+10.3+5.8+0.4+0.3+0.3+9.3+0.2+0.6+1.1-0.2</f>
        <v>512.9000000000001</v>
      </c>
      <c r="E55" s="107">
        <f>D55/D51*100</f>
        <v>2.7320570594564657</v>
      </c>
      <c r="F55" s="107">
        <f t="shared" si="7"/>
        <v>76.60941000746827</v>
      </c>
      <c r="G55" s="107">
        <f t="shared" si="5"/>
        <v>42.044429871300935</v>
      </c>
      <c r="H55" s="105">
        <f t="shared" si="8"/>
        <v>156.5999999999999</v>
      </c>
      <c r="I55" s="105">
        <f t="shared" si="6"/>
        <v>707</v>
      </c>
      <c r="J55" s="168"/>
      <c r="K55" s="154"/>
    </row>
    <row r="56" spans="1:11" s="94" customFormat="1" ht="17.25">
      <c r="A56" s="103" t="s">
        <v>14</v>
      </c>
      <c r="B56" s="127">
        <v>880</v>
      </c>
      <c r="C56" s="128">
        <v>1320</v>
      </c>
      <c r="D56" s="128">
        <f>110+110+110+110+110+110+110</f>
        <v>770</v>
      </c>
      <c r="E56" s="107">
        <f>D56/D51*100</f>
        <v>4.101547934843982</v>
      </c>
      <c r="F56" s="107">
        <f>D56/B56*100</f>
        <v>87.5</v>
      </c>
      <c r="G56" s="107">
        <f>D56/C56*100</f>
        <v>58.333333333333336</v>
      </c>
      <c r="H56" s="105">
        <f t="shared" si="8"/>
        <v>110</v>
      </c>
      <c r="I56" s="105">
        <f t="shared" si="6"/>
        <v>550</v>
      </c>
      <c r="J56" s="168"/>
      <c r="K56" s="154"/>
    </row>
    <row r="57" spans="1:11" s="94" customFormat="1" ht="18" thickBot="1">
      <c r="A57" s="103" t="s">
        <v>27</v>
      </c>
      <c r="B57" s="128">
        <f>B51-B52-B55-B54-B53-B56</f>
        <v>9267.599999999999</v>
      </c>
      <c r="C57" s="128">
        <f>C51-C52-C55-C54-C53-C56</f>
        <v>13514.6</v>
      </c>
      <c r="D57" s="128">
        <f>D51-D52-D55-D54-D53-D56</f>
        <v>5889.599999999997</v>
      </c>
      <c r="E57" s="107">
        <f>D57/D51*100</f>
        <v>31.372047684489747</v>
      </c>
      <c r="F57" s="107">
        <f t="shared" si="7"/>
        <v>63.55043376926063</v>
      </c>
      <c r="G57" s="107">
        <f t="shared" si="5"/>
        <v>43.579536205289074</v>
      </c>
      <c r="H57" s="105">
        <f>B57-D57</f>
        <v>3378.000000000002</v>
      </c>
      <c r="I57" s="105">
        <f>C57-D57</f>
        <v>7625.000000000004</v>
      </c>
      <c r="J57" s="168"/>
      <c r="K57" s="154"/>
    </row>
    <row r="58" spans="1:11" s="32" customFormat="1" ht="18" hidden="1" thickBot="1">
      <c r="A58" s="75" t="s">
        <v>65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J58" s="95"/>
      <c r="K58" s="154">
        <f>C58-B58</f>
        <v>0</v>
      </c>
    </row>
    <row r="59" spans="1:11" ht="18" thickBot="1">
      <c r="A59" s="20" t="s">
        <v>6</v>
      </c>
      <c r="B59" s="39">
        <v>8243.8</v>
      </c>
      <c r="C59" s="40">
        <f>9264.2+300+32.4</f>
        <v>9596.6</v>
      </c>
      <c r="D59" s="41">
        <f>87.7+79.1+87.8+43.2+40.5+47.6+13+155.9+18+2.1+84.2+29.6+0.7+0.5+5.7+85.8+109.2+19+38.3+85.7+1.2+4.7+89.8+79.1+0.4+114.1+2.5+187.7+22+17.7+67.3-3+41+50.9+0.1+2.6+120+203+53.7+50+85.8+1.8+136+93.7+2.7+167.9+8.7</f>
        <v>2635</v>
      </c>
      <c r="E59" s="3">
        <f>D59/D154*100</f>
        <v>0.22962358637707309</v>
      </c>
      <c r="F59" s="3">
        <f>D59/B59*100</f>
        <v>31.96341493000801</v>
      </c>
      <c r="G59" s="3">
        <f t="shared" si="5"/>
        <v>27.45764124794198</v>
      </c>
      <c r="H59" s="41">
        <f>B59-D59</f>
        <v>5608.799999999999</v>
      </c>
      <c r="I59" s="41">
        <f t="shared" si="6"/>
        <v>6961.6</v>
      </c>
      <c r="J59" s="168"/>
      <c r="K59" s="154"/>
    </row>
    <row r="60" spans="1:11" s="94" customFormat="1" ht="17.25">
      <c r="A60" s="103" t="s">
        <v>3</v>
      </c>
      <c r="B60" s="127">
        <v>2094.4</v>
      </c>
      <c r="C60" s="128">
        <v>3119.7</v>
      </c>
      <c r="D60" s="105">
        <f>77.7+79.1+76.9+40.5+47.3+155.9+45+29.2+85.8+95.3+38.3+30.7+89.8+79.1+80.7+178.9+50.9+35.4+119.2+73+83.9+167.9</f>
        <v>1760.5000000000005</v>
      </c>
      <c r="E60" s="107">
        <f>D60/D59*100</f>
        <v>66.81214421252373</v>
      </c>
      <c r="F60" s="107">
        <f t="shared" si="7"/>
        <v>84.05748663101606</v>
      </c>
      <c r="G60" s="107">
        <f t="shared" si="5"/>
        <v>56.43170817706833</v>
      </c>
      <c r="H60" s="105">
        <f t="shared" si="8"/>
        <v>333.89999999999964</v>
      </c>
      <c r="I60" s="105">
        <f t="shared" si="6"/>
        <v>1359.1999999999994</v>
      </c>
      <c r="J60" s="168"/>
      <c r="K60" s="154"/>
    </row>
    <row r="61" spans="1:11" s="94" customFormat="1" ht="17.25">
      <c r="A61" s="103" t="s">
        <v>1</v>
      </c>
      <c r="B61" s="127">
        <v>393.1</v>
      </c>
      <c r="C61" s="128">
        <f>360.7+32.4</f>
        <v>393.09999999999997</v>
      </c>
      <c r="D61" s="105">
        <f>127+93.7</f>
        <v>220.7</v>
      </c>
      <c r="E61" s="107">
        <f>D61/D59*100</f>
        <v>8.375711574952561</v>
      </c>
      <c r="F61" s="107">
        <f>D61/B61*100</f>
        <v>56.14347494276265</v>
      </c>
      <c r="G61" s="107">
        <f t="shared" si="5"/>
        <v>56.14347494276266</v>
      </c>
      <c r="H61" s="105">
        <f t="shared" si="8"/>
        <v>172.40000000000003</v>
      </c>
      <c r="I61" s="105">
        <f t="shared" si="6"/>
        <v>172.39999999999998</v>
      </c>
      <c r="J61" s="168"/>
      <c r="K61" s="154"/>
    </row>
    <row r="62" spans="1:11" s="94" customFormat="1" ht="17.25">
      <c r="A62" s="103" t="s">
        <v>0</v>
      </c>
      <c r="B62" s="127">
        <v>245.6</v>
      </c>
      <c r="C62" s="128">
        <v>393.7</v>
      </c>
      <c r="D62" s="105">
        <f>10.9+43.2+13-3+39.2+5.7+50.2+3.5+0.2+29.7+2.5+1.8+22+0.1+0.7+2.1+0.1+0.1+2.2</f>
        <v>224.19999999999993</v>
      </c>
      <c r="E62" s="107">
        <f>D62/D59*100</f>
        <v>8.508538899430738</v>
      </c>
      <c r="F62" s="107">
        <f t="shared" si="7"/>
        <v>91.28664495114003</v>
      </c>
      <c r="G62" s="107">
        <f t="shared" si="5"/>
        <v>56.94691389382778</v>
      </c>
      <c r="H62" s="105">
        <f t="shared" si="8"/>
        <v>21.400000000000063</v>
      </c>
      <c r="I62" s="105">
        <f t="shared" si="6"/>
        <v>169.50000000000006</v>
      </c>
      <c r="J62" s="168"/>
      <c r="K62" s="154"/>
    </row>
    <row r="63" spans="1:11" s="94" customFormat="1" ht="17.25">
      <c r="A63" s="103" t="s">
        <v>14</v>
      </c>
      <c r="B63" s="127">
        <v>4866.6</v>
      </c>
      <c r="C63" s="128">
        <v>4866.6</v>
      </c>
      <c r="D63" s="105">
        <v>136</v>
      </c>
      <c r="E63" s="107">
        <f>D63/D59*100</f>
        <v>5.161290322580645</v>
      </c>
      <c r="F63" s="107">
        <f t="shared" si="7"/>
        <v>2.7945588295730075</v>
      </c>
      <c r="G63" s="107">
        <f t="shared" si="5"/>
        <v>2.7945588295730075</v>
      </c>
      <c r="H63" s="105">
        <f t="shared" si="8"/>
        <v>4730.6</v>
      </c>
      <c r="I63" s="105">
        <f t="shared" si="6"/>
        <v>4730.6</v>
      </c>
      <c r="J63" s="168"/>
      <c r="K63" s="154"/>
    </row>
    <row r="64" spans="1:11" s="94" customFormat="1" ht="18" thickBot="1">
      <c r="A64" s="103" t="s">
        <v>27</v>
      </c>
      <c r="B64" s="128">
        <f>B59-B60-B62-B63-B61</f>
        <v>644.0999999999989</v>
      </c>
      <c r="C64" s="128">
        <f>C59-C60-C62-C63-C61</f>
        <v>823.5000000000005</v>
      </c>
      <c r="D64" s="128">
        <f>D59-D60-D62-D63-D61</f>
        <v>293.5999999999996</v>
      </c>
      <c r="E64" s="107">
        <f>D64/D59*100</f>
        <v>11.14231499051232</v>
      </c>
      <c r="F64" s="107">
        <f t="shared" si="7"/>
        <v>45.582984008694325</v>
      </c>
      <c r="G64" s="107">
        <f t="shared" si="5"/>
        <v>35.65270188221001</v>
      </c>
      <c r="H64" s="105">
        <f t="shared" si="8"/>
        <v>350.49999999999926</v>
      </c>
      <c r="I64" s="105">
        <f t="shared" si="6"/>
        <v>529.9000000000008</v>
      </c>
      <c r="J64" s="168"/>
      <c r="K64" s="154"/>
    </row>
    <row r="65" spans="1:11" s="32" customFormat="1" ht="18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J65" s="95"/>
      <c r="K65" s="154">
        <f>C65-B65</f>
        <v>0</v>
      </c>
    </row>
    <row r="66" spans="1:11" s="32" customFormat="1" ht="18" hidden="1" thickBot="1">
      <c r="A66" s="75" t="s">
        <v>62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J66" s="95"/>
      <c r="K66" s="154">
        <f>C66-B66</f>
        <v>0</v>
      </c>
    </row>
    <row r="67" spans="1:11" s="32" customFormat="1" ht="18" hidden="1" thickBot="1">
      <c r="A67" s="75" t="s">
        <v>63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J67" s="95"/>
      <c r="K67" s="154">
        <f>C67-B67</f>
        <v>0</v>
      </c>
    </row>
    <row r="68" spans="1:11" s="32" customFormat="1" ht="18" hidden="1" thickBot="1">
      <c r="A68" s="75" t="s">
        <v>64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J68" s="95"/>
      <c r="K68" s="154">
        <f>C68-B68</f>
        <v>0</v>
      </c>
    </row>
    <row r="69" spans="1:11" ht="18" thickBot="1">
      <c r="A69" s="20" t="s">
        <v>20</v>
      </c>
      <c r="B69" s="40">
        <f>B70+B71</f>
        <v>355.20000000000005</v>
      </c>
      <c r="C69" s="40">
        <f>C70+C71</f>
        <v>438.9</v>
      </c>
      <c r="D69" s="41">
        <f>D70+D71</f>
        <v>227</v>
      </c>
      <c r="E69" s="30">
        <f>D69/D154*100</f>
        <v>0.019781614462085612</v>
      </c>
      <c r="F69" s="3">
        <f>D69/B69*100</f>
        <v>63.907657657657644</v>
      </c>
      <c r="G69" s="3">
        <f t="shared" si="5"/>
        <v>51.720209614946455</v>
      </c>
      <c r="H69" s="41">
        <f>B69-D69</f>
        <v>128.20000000000005</v>
      </c>
      <c r="I69" s="41">
        <f t="shared" si="6"/>
        <v>211.89999999999998</v>
      </c>
      <c r="J69" s="94"/>
      <c r="K69" s="154"/>
    </row>
    <row r="70" spans="1:11" s="94" customFormat="1" ht="17.25">
      <c r="A70" s="103" t="s">
        <v>8</v>
      </c>
      <c r="B70" s="127">
        <f>256.1+36-12-53.1</f>
        <v>227.00000000000003</v>
      </c>
      <c r="C70" s="128">
        <f>292.7-53.1-12</f>
        <v>227.6</v>
      </c>
      <c r="D70" s="105">
        <f>169.5+50+6+1.5</f>
        <v>227</v>
      </c>
      <c r="E70" s="107">
        <f>D70/D69*100</f>
        <v>100</v>
      </c>
      <c r="F70" s="107">
        <f t="shared" si="7"/>
        <v>99.99999999999999</v>
      </c>
      <c r="G70" s="107">
        <f t="shared" si="5"/>
        <v>99.73637961335677</v>
      </c>
      <c r="H70" s="105">
        <f t="shared" si="8"/>
        <v>0</v>
      </c>
      <c r="I70" s="105">
        <f t="shared" si="6"/>
        <v>0.5999999999999943</v>
      </c>
      <c r="K70" s="154"/>
    </row>
    <row r="71" spans="1:11" s="94" customFormat="1" ht="18" thickBot="1">
      <c r="A71" s="103" t="s">
        <v>9</v>
      </c>
      <c r="B71" s="127">
        <v>128.2</v>
      </c>
      <c r="C71" s="128">
        <f>293.1-30-14-37.9+0.1</f>
        <v>211.3</v>
      </c>
      <c r="D71" s="105">
        <v>0</v>
      </c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128.2</v>
      </c>
      <c r="I71" s="105">
        <f t="shared" si="6"/>
        <v>211.3</v>
      </c>
      <c r="K71" s="154"/>
    </row>
    <row r="72" spans="1:11" ht="35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J72" s="94"/>
      <c r="K72" s="154"/>
    </row>
    <row r="73" spans="1:11" ht="17.2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J73" s="94"/>
      <c r="K73" s="154"/>
    </row>
    <row r="74" spans="1:11" ht="17.2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J74" s="94"/>
      <c r="K74" s="154"/>
    </row>
    <row r="75" spans="1:11" ht="17.2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J75" s="94"/>
      <c r="K75" s="154"/>
    </row>
    <row r="76" spans="1:11" ht="18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J76" s="94"/>
      <c r="K76" s="154"/>
    </row>
    <row r="77" spans="1:11" s="32" customFormat="1" ht="18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6"/>
        <v>2500</v>
      </c>
      <c r="J77" s="169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J79" s="94"/>
      <c r="K79" s="154"/>
    </row>
    <row r="80" spans="1:11" s="8" customFormat="1" ht="17.25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J89" s="94"/>
      <c r="K89" s="154"/>
    </row>
    <row r="90" spans="1:11" ht="18" thickBot="1">
      <c r="A90" s="12" t="s">
        <v>10</v>
      </c>
      <c r="B90" s="46">
        <v>144524.4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+8904.5+2446.7+635.4-0.5+322.5+210.1+108.9+144.4+27.6+727.7+3006+2574.2+0.9+10.4+54.6+152.2+203.5+3.5+78.3+1.5+60.6+3414.2+5016.1+1346.4+289.5+159.5+45.5+272.8</f>
        <v>123560.49999999996</v>
      </c>
      <c r="E90" s="3">
        <f>D90/D154*100</f>
        <v>10.76751618388779</v>
      </c>
      <c r="F90" s="3">
        <f aca="true" t="shared" si="11" ref="F90:F96">D90/B90*100</f>
        <v>85.4945600881235</v>
      </c>
      <c r="G90" s="3">
        <f t="shared" si="9"/>
        <v>60.91564380958858</v>
      </c>
      <c r="H90" s="41">
        <f aca="true" t="shared" si="12" ref="H90:H96">B90-D90</f>
        <v>20963.900000000038</v>
      </c>
      <c r="I90" s="41">
        <f t="shared" si="10"/>
        <v>79278.20000000006</v>
      </c>
      <c r="J90" s="94"/>
      <c r="K90" s="154"/>
    </row>
    <row r="91" spans="1:11" s="94" customFormat="1" ht="21.75" customHeight="1">
      <c r="A91" s="103" t="s">
        <v>3</v>
      </c>
      <c r="B91" s="127">
        <v>135454.8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+8887.9+2393+635.4-0.5+280.2+118.6+104.1+709.5+2940.2+2536.7+27.1+148.3+134.2+3266+4991.3+1345.8+285.5+155.8+262.1</f>
        <v>118029.90999999999</v>
      </c>
      <c r="E91" s="107">
        <f>D91/D90*100</f>
        <v>95.52398217877075</v>
      </c>
      <c r="F91" s="107">
        <f t="shared" si="11"/>
        <v>87.13601142226042</v>
      </c>
      <c r="G91" s="107">
        <f t="shared" si="9"/>
        <v>62.136277706151986</v>
      </c>
      <c r="H91" s="105">
        <f t="shared" si="12"/>
        <v>17424.89</v>
      </c>
      <c r="I91" s="105">
        <f t="shared" si="10"/>
        <v>71923.39</v>
      </c>
      <c r="K91" s="154"/>
    </row>
    <row r="92" spans="1:11" s="94" customFormat="1" ht="17.25">
      <c r="A92" s="103" t="s">
        <v>25</v>
      </c>
      <c r="B92" s="127">
        <v>1732.7</v>
      </c>
      <c r="C92" s="128">
        <v>2776.4</v>
      </c>
      <c r="D92" s="105">
        <f>57.2+3.4+167+1.4+0.3+83.4+86.9+53.1+5.3+4.7+17+71.3+284.2+22.2+4.8+1.6+54.8+7+38.2+1.9+190+51.9+21+0.9+36.9+5.5+20.1+0.9+46.6+43.3-17.3</f>
        <v>1365.5000000000002</v>
      </c>
      <c r="E92" s="107">
        <f>D92/D90*100</f>
        <v>1.10512663836744</v>
      </c>
      <c r="F92" s="107">
        <f t="shared" si="11"/>
        <v>78.80764125353495</v>
      </c>
      <c r="G92" s="107">
        <f t="shared" si="9"/>
        <v>49.18239446765597</v>
      </c>
      <c r="H92" s="105">
        <f t="shared" si="12"/>
        <v>367.1999999999998</v>
      </c>
      <c r="I92" s="105">
        <f t="shared" si="10"/>
        <v>1410.8999999999999</v>
      </c>
      <c r="K92" s="154"/>
    </row>
    <row r="93" spans="1:11" s="94" customFormat="1" ht="17.25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4">
        <f aca="true" t="shared" si="13" ref="K93:K101">C93-B93</f>
        <v>0</v>
      </c>
    </row>
    <row r="94" spans="1:11" s="94" customFormat="1" ht="18" thickBot="1">
      <c r="A94" s="103" t="s">
        <v>27</v>
      </c>
      <c r="B94" s="128">
        <f>B90-B91-B92-B93</f>
        <v>7336.900000000006</v>
      </c>
      <c r="C94" s="128">
        <f>C90-C91-C92-C93</f>
        <v>10109.000000000024</v>
      </c>
      <c r="D94" s="128">
        <f>D90-D91-D92-D93</f>
        <v>4165.089999999967</v>
      </c>
      <c r="E94" s="107">
        <f>D94/D90*100</f>
        <v>3.3708911828618118</v>
      </c>
      <c r="F94" s="107">
        <f t="shared" si="11"/>
        <v>56.76907140617923</v>
      </c>
      <c r="G94" s="107">
        <f>D94/C94*100</f>
        <v>41.201800375902245</v>
      </c>
      <c r="H94" s="105">
        <f t="shared" si="12"/>
        <v>3171.8100000000386</v>
      </c>
      <c r="I94" s="105">
        <f>C94-D94</f>
        <v>5943.910000000056</v>
      </c>
      <c r="K94" s="154"/>
    </row>
    <row r="95" spans="1:11" ht="17.25">
      <c r="A95" s="83" t="s">
        <v>12</v>
      </c>
      <c r="B95" s="92">
        <v>31892.4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+5+190.2+486+611.6+390.6+222.5+462.3+128.1+21.2+417.6+33.2+178.4+166.2+447+459.1+371.8+167.1+3.3</f>
        <v>23375.699999999997</v>
      </c>
      <c r="E95" s="82">
        <f>D95/D154*100</f>
        <v>2.0370444281117823</v>
      </c>
      <c r="F95" s="84">
        <f t="shared" si="11"/>
        <v>73.29551868156675</v>
      </c>
      <c r="G95" s="81">
        <f>D95/C95*100</f>
        <v>49.31738346150194</v>
      </c>
      <c r="H95" s="85">
        <f t="shared" si="12"/>
        <v>8516.700000000004</v>
      </c>
      <c r="I95" s="88">
        <f>C95-D95</f>
        <v>24022.800000000003</v>
      </c>
      <c r="J95" s="168"/>
      <c r="K95" s="154"/>
    </row>
    <row r="96" spans="1:11" s="94" customFormat="1" ht="18" thickBot="1">
      <c r="A96" s="130" t="s">
        <v>83</v>
      </c>
      <c r="B96" s="131">
        <v>8027</v>
      </c>
      <c r="C96" s="132">
        <v>12814.2</v>
      </c>
      <c r="D96" s="133">
        <f>194.6+1234+3.4+0.5+79.6+1026.4+0.7+86.4+939.3+4.2+87.7+624.7+8+489.4+90.3+1.9+597.9+5.5+67.2+2.1+31.9+0.2+90.5+32.4+530.2+66+90.3+454.6+5.4</f>
        <v>6845.299999999997</v>
      </c>
      <c r="E96" s="134">
        <f>D96/D95*100</f>
        <v>29.283828933465088</v>
      </c>
      <c r="F96" s="135">
        <f t="shared" si="11"/>
        <v>85.27843528092684</v>
      </c>
      <c r="G96" s="136">
        <f>D96/C96*100</f>
        <v>53.419643832623166</v>
      </c>
      <c r="H96" s="137">
        <f t="shared" si="12"/>
        <v>1181.7000000000025</v>
      </c>
      <c r="I96" s="126">
        <f>C96-D96</f>
        <v>5968.900000000003</v>
      </c>
      <c r="J96" s="168"/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8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3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3"/>
        <v>0</v>
      </c>
    </row>
    <row r="102" spans="1:11" s="32" customFormat="1" ht="18" thickBot="1">
      <c r="A102" s="12" t="s">
        <v>11</v>
      </c>
      <c r="B102" s="91">
        <v>9826.3</v>
      </c>
      <c r="C102" s="71">
        <f>11266.5-91.2+1707.2+14.9+0.2</f>
        <v>12897.6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+27.5+45.1+20.5+127.1+4.6+64.3+36.4+328.8-1.6+12.8+69.9+12+57.6+10.1+29.2+220+61</f>
        <v>8021.6</v>
      </c>
      <c r="E102" s="17">
        <f>D102/D154*100</f>
        <v>0.6990317117579998</v>
      </c>
      <c r="F102" s="17">
        <f>D102/B102*100</f>
        <v>81.6339822720658</v>
      </c>
      <c r="G102" s="17">
        <f aca="true" t="shared" si="14" ref="G102:G152">D102/C102*100</f>
        <v>62.19451680932887</v>
      </c>
      <c r="H102" s="66">
        <f aca="true" t="shared" si="15" ref="H102:H108">B102-D102</f>
        <v>1804.699999999999</v>
      </c>
      <c r="I102" s="66">
        <f aca="true" t="shared" si="16" ref="I102:I152">C102-D102</f>
        <v>4876</v>
      </c>
      <c r="J102" s="169"/>
      <c r="K102" s="154"/>
    </row>
    <row r="103" spans="1:11" s="94" customFormat="1" ht="18.75" customHeight="1">
      <c r="A103" s="103" t="s">
        <v>3</v>
      </c>
      <c r="B103" s="119">
        <v>218.3</v>
      </c>
      <c r="C103" s="120">
        <v>363.8</v>
      </c>
      <c r="D103" s="120">
        <f>31.2+4.8+33.9+5.2+30.9+10.3</f>
        <v>116.3</v>
      </c>
      <c r="E103" s="121">
        <f>D103/D102*100</f>
        <v>1.449835444300389</v>
      </c>
      <c r="F103" s="107">
        <f>D103/B103*100</f>
        <v>53.27530920751259</v>
      </c>
      <c r="G103" s="121">
        <f>D103/C103*100</f>
        <v>31.968114348543153</v>
      </c>
      <c r="H103" s="120">
        <f t="shared" si="15"/>
        <v>102.00000000000001</v>
      </c>
      <c r="I103" s="120">
        <f t="shared" si="16"/>
        <v>247.5</v>
      </c>
      <c r="J103" s="168"/>
      <c r="K103" s="154"/>
    </row>
    <row r="104" spans="1:11" s="94" customFormat="1" ht="17.25">
      <c r="A104" s="122" t="s">
        <v>48</v>
      </c>
      <c r="B104" s="104">
        <v>8247.9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+8+113.8+3.6+46.6+5.5+126+34.3+151.8+9.5+2.4+53.6+9.1+1+182.1+50.9</f>
        <v>7161.800000000002</v>
      </c>
      <c r="E104" s="107">
        <f>D104/D102*100</f>
        <v>89.28144011169844</v>
      </c>
      <c r="F104" s="107">
        <f aca="true" t="shared" si="17" ref="F104:F152">D104/B104*100</f>
        <v>86.83179960959762</v>
      </c>
      <c r="G104" s="107">
        <f t="shared" si="14"/>
        <v>67.85220274751305</v>
      </c>
      <c r="H104" s="105">
        <f t="shared" si="15"/>
        <v>1086.0999999999976</v>
      </c>
      <c r="I104" s="105">
        <f t="shared" si="16"/>
        <v>3393.199999999998</v>
      </c>
      <c r="J104" s="168"/>
      <c r="K104" s="154"/>
    </row>
    <row r="105" spans="1:11" s="94" customFormat="1" ht="52.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5"/>
        <v>0</v>
      </c>
      <c r="I105" s="126">
        <f>C105-D105</f>
        <v>0</v>
      </c>
      <c r="J105" s="168"/>
      <c r="K105" s="154"/>
    </row>
    <row r="106" spans="1:11" s="94" customFormat="1" ht="18" thickBot="1">
      <c r="A106" s="123" t="s">
        <v>27</v>
      </c>
      <c r="B106" s="124">
        <f>B102-B103-B104</f>
        <v>1360.1000000000004</v>
      </c>
      <c r="C106" s="124">
        <f>C102-C103-C104</f>
        <v>1978.800000000001</v>
      </c>
      <c r="D106" s="124">
        <f>D102-D103-D104</f>
        <v>743.4999999999982</v>
      </c>
      <c r="E106" s="125">
        <f>D106/D102*100</f>
        <v>9.268724444001174</v>
      </c>
      <c r="F106" s="125">
        <f t="shared" si="17"/>
        <v>54.66509815454731</v>
      </c>
      <c r="G106" s="125">
        <f t="shared" si="14"/>
        <v>37.57327673337365</v>
      </c>
      <c r="H106" s="126">
        <f t="shared" si="15"/>
        <v>616.6000000000022</v>
      </c>
      <c r="I106" s="126">
        <f t="shared" si="16"/>
        <v>1235.300000000003</v>
      </c>
      <c r="J106" s="168"/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374632.3999999999</v>
      </c>
      <c r="C107" s="68">
        <f>SUM(C108:C151)-C115-C120+C152-C142-C143-C109-C112-C123-C124-C140-C133-C131-C138-C118</f>
        <v>563472.3999999999</v>
      </c>
      <c r="D107" s="68">
        <f>SUM(D108:D151)-D115-D120+D152-D142-D143-D109-D112-D123-D124-D140-D133-D131-D138-D118</f>
        <v>238796</v>
      </c>
      <c r="E107" s="69">
        <f>D107/D154*100</f>
        <v>20.80956126470571</v>
      </c>
      <c r="F107" s="69">
        <f>D107/B107*100</f>
        <v>63.74141691962576</v>
      </c>
      <c r="G107" s="69">
        <f t="shared" si="14"/>
        <v>42.37936055075635</v>
      </c>
      <c r="H107" s="68">
        <f t="shared" si="15"/>
        <v>135836.3999999999</v>
      </c>
      <c r="I107" s="68">
        <f t="shared" si="16"/>
        <v>324676.3999999999</v>
      </c>
      <c r="J107" s="114"/>
      <c r="K107" s="154"/>
      <c r="L107" s="97"/>
    </row>
    <row r="108" spans="1:12" s="94" customFormat="1" ht="34.5">
      <c r="A108" s="98" t="s">
        <v>52</v>
      </c>
      <c r="B108" s="164">
        <v>2837.6</v>
      </c>
      <c r="C108" s="161">
        <v>4459</v>
      </c>
      <c r="D108" s="99">
        <f>17.1+81.1+17.3+60.5+173.3+3.4+2+0.4+29.3+1.7+177.1+0.8+38.8+139.8+0.3+1.9+1.8+6.5+136+91.3+0.1+1.8+1.1+2.4+3.5+2+3.4+72.2+73.1+42.5+21.2+13.2+0.2+17.6-34.7+31.4+109.2+11.6+31.6+1.8+1.8+136.5+26+0.7+9.8+16+6.4+2.3+33+154.5</f>
        <v>1772.5999999999995</v>
      </c>
      <c r="E108" s="100">
        <f>D108/D107*100</f>
        <v>0.7423072413273252</v>
      </c>
      <c r="F108" s="100">
        <f t="shared" si="17"/>
        <v>62.468283056103736</v>
      </c>
      <c r="G108" s="100">
        <f t="shared" si="14"/>
        <v>39.75330791657321</v>
      </c>
      <c r="H108" s="101">
        <f t="shared" si="15"/>
        <v>1065.0000000000005</v>
      </c>
      <c r="I108" s="101">
        <f t="shared" si="16"/>
        <v>2686.4000000000005</v>
      </c>
      <c r="K108" s="154"/>
      <c r="L108" s="102"/>
    </row>
    <row r="109" spans="1:12" s="94" customFormat="1" ht="17.25">
      <c r="A109" s="103" t="s">
        <v>25</v>
      </c>
      <c r="B109" s="104">
        <v>1154.9</v>
      </c>
      <c r="C109" s="105">
        <v>1995</v>
      </c>
      <c r="D109" s="106">
        <f>47.8+0.9+59.7+88.3+0.1+59.2+38.8+107.4+24+91.1+38+42.5+2+31.4+47.6+36.5-21.6</f>
        <v>693.7</v>
      </c>
      <c r="E109" s="107">
        <f>D109/D108*100</f>
        <v>39.134604535710274</v>
      </c>
      <c r="F109" s="107">
        <f t="shared" si="17"/>
        <v>60.06580656333882</v>
      </c>
      <c r="G109" s="107">
        <f t="shared" si="14"/>
        <v>34.771929824561404</v>
      </c>
      <c r="H109" s="105">
        <f aca="true" t="shared" si="18" ref="H109:H152">B109-D109</f>
        <v>461.20000000000005</v>
      </c>
      <c r="I109" s="105">
        <f t="shared" si="16"/>
        <v>1301.3</v>
      </c>
      <c r="K109" s="154"/>
      <c r="L109" s="102"/>
    </row>
    <row r="110" spans="1:12" s="94" customFormat="1" ht="34.5" customHeight="1" hidden="1">
      <c r="A110" s="108" t="s">
        <v>78</v>
      </c>
      <c r="B110" s="163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4"/>
      <c r="L110" s="102"/>
    </row>
    <row r="111" spans="1:12" s="95" customFormat="1" ht="34.5" customHeight="1">
      <c r="A111" s="108" t="s">
        <v>93</v>
      </c>
      <c r="B111" s="165">
        <v>140.6</v>
      </c>
      <c r="C111" s="109">
        <v>200</v>
      </c>
      <c r="D111" s="110"/>
      <c r="E111" s="100">
        <f>D111/D107*100</f>
        <v>0</v>
      </c>
      <c r="F111" s="111">
        <f t="shared" si="17"/>
        <v>0</v>
      </c>
      <c r="G111" s="100">
        <f t="shared" si="14"/>
        <v>0</v>
      </c>
      <c r="H111" s="101">
        <f t="shared" si="18"/>
        <v>140.6</v>
      </c>
      <c r="I111" s="101">
        <f t="shared" si="16"/>
        <v>200</v>
      </c>
      <c r="K111" s="154"/>
      <c r="L111" s="102"/>
    </row>
    <row r="112" spans="1:12" s="94" customFormat="1" ht="17.25" hidden="1">
      <c r="A112" s="103" t="s">
        <v>25</v>
      </c>
      <c r="B112" s="162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4"/>
      <c r="L112" s="102"/>
    </row>
    <row r="113" spans="1:12" s="94" customFormat="1" ht="17.25">
      <c r="A113" s="108" t="s">
        <v>89</v>
      </c>
      <c r="B113" s="165">
        <v>56.7</v>
      </c>
      <c r="C113" s="101">
        <v>64.3</v>
      </c>
      <c r="D113" s="99">
        <f>6.8+7+3.6</f>
        <v>17.400000000000002</v>
      </c>
      <c r="E113" s="100">
        <f>D113/D107*100</f>
        <v>0.007286554213638421</v>
      </c>
      <c r="F113" s="100">
        <f t="shared" si="17"/>
        <v>30.68783068783069</v>
      </c>
      <c r="G113" s="100">
        <f t="shared" si="14"/>
        <v>27.06065318818041</v>
      </c>
      <c r="H113" s="101">
        <f t="shared" si="18"/>
        <v>39.3</v>
      </c>
      <c r="I113" s="101">
        <f t="shared" si="16"/>
        <v>46.89999999999999</v>
      </c>
      <c r="K113" s="154"/>
      <c r="L113" s="102"/>
    </row>
    <row r="114" spans="1:12" s="94" customFormat="1" ht="34.5">
      <c r="A114" s="108" t="s">
        <v>38</v>
      </c>
      <c r="B114" s="165">
        <v>2258.6</v>
      </c>
      <c r="C114" s="101">
        <v>3311.5</v>
      </c>
      <c r="D114" s="99">
        <f>136.4+10+40+6.6+6.1+0.2+177.4+10+1.8+25.1+29.4+48.1+8.1+193.1+10+0.1+17.8+8.8+132.4+79.7+12.6+4.3+3.5+212.4+8.1+0.4+10.8+218.3+5.3+16.4+166.6+54.3+12.8</f>
        <v>1666.8999999999999</v>
      </c>
      <c r="E114" s="100">
        <f>D114/D107*100</f>
        <v>0.6980435183168897</v>
      </c>
      <c r="F114" s="100">
        <f t="shared" si="17"/>
        <v>73.80235544142388</v>
      </c>
      <c r="G114" s="100">
        <f t="shared" si="14"/>
        <v>50.3367054205043</v>
      </c>
      <c r="H114" s="101">
        <f t="shared" si="18"/>
        <v>591.7</v>
      </c>
      <c r="I114" s="101">
        <f t="shared" si="16"/>
        <v>1644.6000000000001</v>
      </c>
      <c r="K114" s="154"/>
      <c r="L114" s="102"/>
    </row>
    <row r="115" spans="1:12" s="94" customFormat="1" ht="17.25" hidden="1">
      <c r="A115" s="112" t="s">
        <v>43</v>
      </c>
      <c r="B115" s="162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4"/>
      <c r="L115" s="102"/>
    </row>
    <row r="116" spans="1:12" s="95" customFormat="1" ht="18.75" customHeight="1" hidden="1">
      <c r="A116" s="108" t="s">
        <v>90</v>
      </c>
      <c r="B116" s="163"/>
      <c r="C116" s="109"/>
      <c r="D116" s="110"/>
      <c r="E116" s="113">
        <f>D116/D107*100</f>
        <v>0</v>
      </c>
      <c r="F116" s="100" t="e">
        <f t="shared" si="17"/>
        <v>#DIV/0!</v>
      </c>
      <c r="G116" s="113" t="e">
        <f t="shared" si="14"/>
        <v>#DIV/0!</v>
      </c>
      <c r="H116" s="109">
        <f t="shared" si="18"/>
        <v>0</v>
      </c>
      <c r="I116" s="109">
        <f t="shared" si="16"/>
        <v>0</v>
      </c>
      <c r="K116" s="154"/>
      <c r="L116" s="102"/>
    </row>
    <row r="117" spans="1:12" s="94" customFormat="1" ht="34.5">
      <c r="A117" s="108" t="s">
        <v>47</v>
      </c>
      <c r="B117" s="165">
        <v>200</v>
      </c>
      <c r="C117" s="101">
        <v>200</v>
      </c>
      <c r="D117" s="99">
        <f>15+40+1.2</f>
        <v>56.2</v>
      </c>
      <c r="E117" s="100">
        <f>D117/D107*100</f>
        <v>0.02353473257508501</v>
      </c>
      <c r="F117" s="100">
        <f>D117/B117*100</f>
        <v>28.1</v>
      </c>
      <c r="G117" s="100">
        <f t="shared" si="14"/>
        <v>28.1</v>
      </c>
      <c r="H117" s="101">
        <f t="shared" si="18"/>
        <v>143.8</v>
      </c>
      <c r="I117" s="101">
        <f t="shared" si="16"/>
        <v>143.8</v>
      </c>
      <c r="K117" s="154"/>
      <c r="L117" s="102"/>
    </row>
    <row r="118" spans="1:12" s="94" customFormat="1" ht="17.2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71.17437722419928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7.25">
      <c r="A119" s="108" t="s">
        <v>15</v>
      </c>
      <c r="B119" s="165">
        <v>283</v>
      </c>
      <c r="C119" s="109">
        <v>491.6</v>
      </c>
      <c r="D119" s="99">
        <f>45.4+9.9+47+6.4+0.4+0.4+45.4+0.4+2.9+45.4+4+6.8+0.4+45.4+0.1+5.8+0.8+0.4+0.8+0.7+13</f>
        <v>281.80000000000007</v>
      </c>
      <c r="E119" s="100">
        <f>D119/D107*100</f>
        <v>0.11800867686225903</v>
      </c>
      <c r="F119" s="100">
        <f t="shared" si="17"/>
        <v>99.57597173144879</v>
      </c>
      <c r="G119" s="100">
        <f t="shared" si="14"/>
        <v>57.32302685109847</v>
      </c>
      <c r="H119" s="101">
        <f t="shared" si="18"/>
        <v>1.1999999999999318</v>
      </c>
      <c r="I119" s="101">
        <f t="shared" si="16"/>
        <v>209.79999999999995</v>
      </c>
      <c r="K119" s="154"/>
      <c r="L119" s="102"/>
    </row>
    <row r="120" spans="1:12" s="115" customFormat="1" ht="17.2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80.58907026259756</v>
      </c>
      <c r="F120" s="107">
        <f t="shared" si="17"/>
        <v>100</v>
      </c>
      <c r="G120" s="107">
        <f t="shared" si="14"/>
        <v>55.55283757338552</v>
      </c>
      <c r="H120" s="105">
        <f t="shared" si="18"/>
        <v>0</v>
      </c>
      <c r="I120" s="105">
        <f t="shared" si="16"/>
        <v>181.70000000000002</v>
      </c>
      <c r="K120" s="154"/>
      <c r="L120" s="102"/>
    </row>
    <row r="121" spans="1:12" s="114" customFormat="1" ht="17.25">
      <c r="A121" s="108" t="s">
        <v>105</v>
      </c>
      <c r="B121" s="165">
        <v>205</v>
      </c>
      <c r="C121" s="109">
        <v>317</v>
      </c>
      <c r="D121" s="99">
        <v>3.6</v>
      </c>
      <c r="E121" s="100">
        <f>D121/D107*100</f>
        <v>0.0015075629407527763</v>
      </c>
      <c r="F121" s="100">
        <f t="shared" si="17"/>
        <v>1.75609756097561</v>
      </c>
      <c r="G121" s="100">
        <f t="shared" si="14"/>
        <v>1.135646687697161</v>
      </c>
      <c r="H121" s="101">
        <f t="shared" si="18"/>
        <v>201.4</v>
      </c>
      <c r="I121" s="101">
        <f t="shared" si="16"/>
        <v>313.4</v>
      </c>
      <c r="K121" s="154"/>
      <c r="L121" s="102"/>
    </row>
    <row r="122" spans="1:12" s="114" customFormat="1" ht="21.75" customHeight="1">
      <c r="A122" s="108" t="s">
        <v>94</v>
      </c>
      <c r="B122" s="165">
        <v>480</v>
      </c>
      <c r="C122" s="109">
        <f>480+80</f>
        <v>560</v>
      </c>
      <c r="D122" s="110">
        <f>12+360.2</f>
        <v>372.2</v>
      </c>
      <c r="E122" s="113">
        <f>D122/D107*100</f>
        <v>0.1558652573744954</v>
      </c>
      <c r="F122" s="100">
        <f t="shared" si="17"/>
        <v>77.54166666666666</v>
      </c>
      <c r="G122" s="100">
        <f t="shared" si="14"/>
        <v>66.46428571428571</v>
      </c>
      <c r="H122" s="101">
        <f t="shared" si="18"/>
        <v>107.80000000000001</v>
      </c>
      <c r="I122" s="101">
        <f t="shared" si="16"/>
        <v>187.8</v>
      </c>
      <c r="J122" s="171"/>
      <c r="K122" s="154">
        <f>H108+H111+H113+H114+H117+H119+H121+H126+H127+H128+H130+H132+H136+H137+H139+H69</f>
        <v>4084.4000000000005</v>
      </c>
      <c r="L122" s="102"/>
    </row>
    <row r="123" spans="1:12" s="117" customFormat="1" ht="17.25" hidden="1">
      <c r="A123" s="103" t="s">
        <v>80</v>
      </c>
      <c r="B123" s="162"/>
      <c r="C123" s="105"/>
      <c r="D123" s="106"/>
      <c r="E123" s="100"/>
      <c r="F123" s="116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4"/>
      <c r="L123" s="102"/>
    </row>
    <row r="124" spans="1:12" s="117" customFormat="1" ht="17.25" hidden="1">
      <c r="A124" s="103" t="s">
        <v>49</v>
      </c>
      <c r="B124" s="162"/>
      <c r="C124" s="105"/>
      <c r="D124" s="106"/>
      <c r="E124" s="100"/>
      <c r="F124" s="107" t="e">
        <f>D124/B124*100</f>
        <v>#DIV/0!</v>
      </c>
      <c r="G124" s="107" t="e">
        <f t="shared" si="14"/>
        <v>#DIV/0!</v>
      </c>
      <c r="H124" s="105">
        <f t="shared" si="18"/>
        <v>0</v>
      </c>
      <c r="I124" s="105">
        <f t="shared" si="16"/>
        <v>0</v>
      </c>
      <c r="K124" s="154"/>
      <c r="L124" s="102"/>
    </row>
    <row r="125" spans="1:12" s="114" customFormat="1" ht="34.5">
      <c r="A125" s="108" t="s">
        <v>95</v>
      </c>
      <c r="B125" s="165">
        <v>34989.8</v>
      </c>
      <c r="C125" s="109">
        <v>45511.3</v>
      </c>
      <c r="D125" s="110">
        <f>3529.6+2264.3+1265.3+2996.5+533.1+738.7+2380.2+1722.3+1049.4+1874.1+1476.2+1455.5+94.4+1416+1268.6+1913.6+457.2+1108.2+2510.4+39.4+1337.2</f>
        <v>31430.200000000004</v>
      </c>
      <c r="E125" s="113">
        <f>D125/D107*100</f>
        <v>13.161945761235533</v>
      </c>
      <c r="F125" s="100">
        <f t="shared" si="17"/>
        <v>89.82674950985717</v>
      </c>
      <c r="G125" s="100">
        <f t="shared" si="14"/>
        <v>69.06021142002096</v>
      </c>
      <c r="H125" s="101">
        <f t="shared" si="18"/>
        <v>3559.5999999999985</v>
      </c>
      <c r="I125" s="101">
        <f t="shared" si="16"/>
        <v>14081.099999999999</v>
      </c>
      <c r="K125" s="154"/>
      <c r="L125" s="102"/>
    </row>
    <row r="126" spans="1:12" s="114" customFormat="1" ht="17.25">
      <c r="A126" s="108" t="s">
        <v>91</v>
      </c>
      <c r="B126" s="165">
        <v>670</v>
      </c>
      <c r="C126" s="109">
        <v>700</v>
      </c>
      <c r="D126" s="110">
        <f>9.6+1.5</f>
        <v>11.1</v>
      </c>
      <c r="E126" s="113">
        <f>D126/D107*100</f>
        <v>0.004648319067321061</v>
      </c>
      <c r="F126" s="100">
        <f t="shared" si="17"/>
        <v>1.6567164179104477</v>
      </c>
      <c r="G126" s="100">
        <f t="shared" si="14"/>
        <v>1.5857142857142859</v>
      </c>
      <c r="H126" s="101">
        <f t="shared" si="18"/>
        <v>658.9</v>
      </c>
      <c r="I126" s="101">
        <f t="shared" si="16"/>
        <v>688.9</v>
      </c>
      <c r="K126" s="154"/>
      <c r="L126" s="102"/>
    </row>
    <row r="127" spans="1:12" s="114" customFormat="1" ht="34.5">
      <c r="A127" s="108" t="s">
        <v>100</v>
      </c>
      <c r="B127" s="165">
        <v>142</v>
      </c>
      <c r="C127" s="109">
        <v>200</v>
      </c>
      <c r="D127" s="110">
        <v>63.1</v>
      </c>
      <c r="E127" s="113">
        <f>D127/D107*100</f>
        <v>0.026424228211527834</v>
      </c>
      <c r="F127" s="100">
        <f t="shared" si="17"/>
        <v>44.43661971830986</v>
      </c>
      <c r="G127" s="100">
        <f t="shared" si="14"/>
        <v>31.55</v>
      </c>
      <c r="H127" s="101">
        <f t="shared" si="18"/>
        <v>78.9</v>
      </c>
      <c r="I127" s="101">
        <f t="shared" si="16"/>
        <v>136.9</v>
      </c>
      <c r="K127" s="154"/>
      <c r="L127" s="102"/>
    </row>
    <row r="128" spans="1:12" s="114" customFormat="1" ht="34.5">
      <c r="A128" s="108" t="s">
        <v>85</v>
      </c>
      <c r="B128" s="165">
        <v>111.1</v>
      </c>
      <c r="C128" s="109">
        <f>111.1</f>
        <v>111.1</v>
      </c>
      <c r="D128" s="110">
        <v>34.5</v>
      </c>
      <c r="E128" s="113">
        <f>D128/D107*100</f>
        <v>0.014447478182214108</v>
      </c>
      <c r="F128" s="100">
        <f t="shared" si="17"/>
        <v>31.053105310531055</v>
      </c>
      <c r="G128" s="100">
        <f t="shared" si="14"/>
        <v>31.053105310531055</v>
      </c>
      <c r="H128" s="101">
        <f t="shared" si="18"/>
        <v>76.6</v>
      </c>
      <c r="I128" s="101">
        <f t="shared" si="16"/>
        <v>76.6</v>
      </c>
      <c r="K128" s="154"/>
      <c r="L128" s="102"/>
    </row>
    <row r="129" spans="1:12" s="114" customFormat="1" ht="17.25" hidden="1">
      <c r="A129" s="112" t="s">
        <v>83</v>
      </c>
      <c r="B129" s="163"/>
      <c r="C129" s="109"/>
      <c r="D129" s="110"/>
      <c r="E129" s="113">
        <f>D129/D108*100</f>
        <v>0</v>
      </c>
      <c r="F129" s="100" t="e">
        <f t="shared" si="17"/>
        <v>#DIV/0!</v>
      </c>
      <c r="G129" s="100" t="e">
        <f t="shared" si="14"/>
        <v>#DIV/0!</v>
      </c>
      <c r="H129" s="101">
        <f t="shared" si="18"/>
        <v>0</v>
      </c>
      <c r="I129" s="101">
        <f t="shared" si="16"/>
        <v>0</v>
      </c>
      <c r="K129" s="154"/>
      <c r="L129" s="102"/>
    </row>
    <row r="130" spans="1:12" s="114" customFormat="1" ht="34.5">
      <c r="A130" s="108" t="s">
        <v>57</v>
      </c>
      <c r="B130" s="165">
        <v>587.2</v>
      </c>
      <c r="C130" s="109">
        <v>942</v>
      </c>
      <c r="D130" s="110">
        <f>7+4.2+0.1+12.3+0.2+7.1+17.8+14.9+1.7+0.1+7.4+7+2.7+3.7+7.1+5.3+31.3+16.4+2.5+1.7+26.7+0.1+13.8+0.1+2.9+6.5+0.6+7+4.8+0.1+17.3+0.5+7.6+29.1+0.2+0.1+7.4+1</f>
        <v>276.3</v>
      </c>
      <c r="E130" s="113">
        <f>D130/D107*100</f>
        <v>0.1157054557027756</v>
      </c>
      <c r="F130" s="100">
        <f t="shared" si="17"/>
        <v>47.05381471389646</v>
      </c>
      <c r="G130" s="100">
        <f t="shared" si="14"/>
        <v>29.331210191082803</v>
      </c>
      <c r="H130" s="101">
        <f t="shared" si="18"/>
        <v>310.90000000000003</v>
      </c>
      <c r="I130" s="101">
        <f t="shared" si="16"/>
        <v>665.7</v>
      </c>
      <c r="K130" s="154"/>
      <c r="L130" s="102"/>
    </row>
    <row r="131" spans="1:12" s="115" customFormat="1" ht="17.25">
      <c r="A131" s="103" t="s">
        <v>88</v>
      </c>
      <c r="B131" s="104">
        <v>294.6</v>
      </c>
      <c r="C131" s="105">
        <v>510.8</v>
      </c>
      <c r="D131" s="106">
        <f>7+7.1+7+7.1+7+7+7.4</f>
        <v>49.6</v>
      </c>
      <c r="E131" s="107">
        <f>D131/D130*100</f>
        <v>17.95150199058994</v>
      </c>
      <c r="F131" s="107">
        <f>D131/B131*100</f>
        <v>16.836388323150032</v>
      </c>
      <c r="G131" s="107">
        <f t="shared" si="14"/>
        <v>9.71025841816758</v>
      </c>
      <c r="H131" s="105">
        <f t="shared" si="18"/>
        <v>245.00000000000003</v>
      </c>
      <c r="I131" s="105">
        <f t="shared" si="16"/>
        <v>461.2</v>
      </c>
      <c r="K131" s="154"/>
      <c r="L131" s="102"/>
    </row>
    <row r="132" spans="1:12" s="114" customFormat="1" ht="34.5">
      <c r="A132" s="108" t="s">
        <v>103</v>
      </c>
      <c r="B132" s="165">
        <v>305</v>
      </c>
      <c r="C132" s="109">
        <v>485</v>
      </c>
      <c r="D132" s="110"/>
      <c r="E132" s="113">
        <f>D132/D107*100</f>
        <v>0</v>
      </c>
      <c r="F132" s="111">
        <f t="shared" si="17"/>
        <v>0</v>
      </c>
      <c r="G132" s="100">
        <f t="shared" si="14"/>
        <v>0</v>
      </c>
      <c r="H132" s="101">
        <f t="shared" si="18"/>
        <v>305</v>
      </c>
      <c r="I132" s="101">
        <f t="shared" si="16"/>
        <v>485</v>
      </c>
      <c r="K132" s="154"/>
      <c r="L132" s="102">
        <f>H140+H109</f>
        <v>526</v>
      </c>
    </row>
    <row r="133" spans="1:12" s="115" customFormat="1" ht="17.25" hidden="1">
      <c r="A133" s="112" t="s">
        <v>43</v>
      </c>
      <c r="B133" s="162"/>
      <c r="C133" s="105"/>
      <c r="D133" s="106"/>
      <c r="E133" s="107"/>
      <c r="F133" s="107" t="e">
        <f>D133/B133*100</f>
        <v>#DIV/0!</v>
      </c>
      <c r="G133" s="107" t="e">
        <f t="shared" si="14"/>
        <v>#DIV/0!</v>
      </c>
      <c r="H133" s="105">
        <f t="shared" si="18"/>
        <v>0</v>
      </c>
      <c r="I133" s="105">
        <f t="shared" si="16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3"/>
      <c r="C134" s="109"/>
      <c r="D134" s="110"/>
      <c r="E134" s="113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3"/>
      <c r="C135" s="109"/>
      <c r="D135" s="110"/>
      <c r="E135" s="113">
        <f>D135/D107*100</f>
        <v>0</v>
      </c>
      <c r="F135" s="100" t="e">
        <f t="shared" si="17"/>
        <v>#DIV/0!</v>
      </c>
      <c r="G135" s="100" t="e">
        <f t="shared" si="14"/>
        <v>#DIV/0!</v>
      </c>
      <c r="H135" s="101">
        <f t="shared" si="18"/>
        <v>0</v>
      </c>
      <c r="I135" s="101">
        <f t="shared" si="16"/>
        <v>0</v>
      </c>
      <c r="K135" s="154"/>
      <c r="L135" s="102"/>
    </row>
    <row r="136" spans="1:12" s="114" customFormat="1" ht="35.25" customHeight="1">
      <c r="A136" s="108" t="s">
        <v>87</v>
      </c>
      <c r="B136" s="165">
        <v>245</v>
      </c>
      <c r="C136" s="109">
        <v>383.2</v>
      </c>
      <c r="D136" s="110">
        <f>2.9+1.5+9.7+8.2+0.2-0.4+16+13.6+102.3</f>
        <v>154</v>
      </c>
      <c r="E136" s="113">
        <f>D136/D107*100</f>
        <v>0.06449019246553543</v>
      </c>
      <c r="F136" s="100">
        <f t="shared" si="17"/>
        <v>62.857142857142854</v>
      </c>
      <c r="G136" s="100">
        <f t="shared" si="14"/>
        <v>40.18789144050105</v>
      </c>
      <c r="H136" s="101">
        <f t="shared" si="18"/>
        <v>91</v>
      </c>
      <c r="I136" s="101">
        <f t="shared" si="16"/>
        <v>229.2</v>
      </c>
      <c r="K136" s="154"/>
      <c r="L136" s="102"/>
    </row>
    <row r="137" spans="1:12" s="114" customFormat="1" ht="39" customHeight="1">
      <c r="A137" s="108" t="s">
        <v>54</v>
      </c>
      <c r="B137" s="165">
        <v>200</v>
      </c>
      <c r="C137" s="109">
        <v>350</v>
      </c>
      <c r="D137" s="110">
        <f>3.7+1.9+30+0.6+12.1</f>
        <v>48.300000000000004</v>
      </c>
      <c r="E137" s="113">
        <f>D137/D107*100</f>
        <v>0.02022646945509975</v>
      </c>
      <c r="F137" s="100">
        <f t="shared" si="17"/>
        <v>24.150000000000002</v>
      </c>
      <c r="G137" s="100">
        <f t="shared" si="14"/>
        <v>13.8</v>
      </c>
      <c r="H137" s="101">
        <f t="shared" si="18"/>
        <v>151.7</v>
      </c>
      <c r="I137" s="101">
        <f t="shared" si="16"/>
        <v>301.7</v>
      </c>
      <c r="K137" s="154"/>
      <c r="L137" s="102"/>
    </row>
    <row r="138" spans="1:12" s="115" customFormat="1" ht="17.25">
      <c r="A138" s="103" t="s">
        <v>88</v>
      </c>
      <c r="B138" s="104">
        <v>61.9</v>
      </c>
      <c r="C138" s="105">
        <v>110</v>
      </c>
      <c r="D138" s="106">
        <f>3.7+1.9+12.1</f>
        <v>17.7</v>
      </c>
      <c r="E138" s="107"/>
      <c r="F138" s="100">
        <f>D138/B138*100</f>
        <v>28.594507269789982</v>
      </c>
      <c r="G138" s="107">
        <f>D138/C138*100</f>
        <v>16.09090909090909</v>
      </c>
      <c r="H138" s="105">
        <f>B138-D138</f>
        <v>44.2</v>
      </c>
      <c r="I138" s="105">
        <f>C138-D138</f>
        <v>92.3</v>
      </c>
      <c r="K138" s="154"/>
      <c r="L138" s="102"/>
    </row>
    <row r="139" spans="1:12" s="114" customFormat="1" ht="32.25" customHeight="1">
      <c r="A139" s="108" t="s">
        <v>84</v>
      </c>
      <c r="B139" s="165">
        <v>420.1</v>
      </c>
      <c r="C139" s="109">
        <v>607.7</v>
      </c>
      <c r="D139" s="110">
        <f>76+0.3+41+44+1.8+16.3+2.4+30+0.6+0.2+27.4+0.2+4.5-0.2+31.4+4.5+7.9+26.6+4.5+0.5</f>
        <v>319.90000000000003</v>
      </c>
      <c r="E139" s="113">
        <f>D139/D107*100</f>
        <v>0.1339637179852259</v>
      </c>
      <c r="F139" s="100">
        <f>D139/B139*100</f>
        <v>76.14853606284218</v>
      </c>
      <c r="G139" s="100">
        <f>D139/C139*100</f>
        <v>52.64110580878724</v>
      </c>
      <c r="H139" s="101">
        <f t="shared" si="18"/>
        <v>100.19999999999999</v>
      </c>
      <c r="I139" s="101">
        <f t="shared" si="16"/>
        <v>287.8</v>
      </c>
      <c r="K139" s="154"/>
      <c r="L139" s="102"/>
    </row>
    <row r="140" spans="1:12" s="115" customFormat="1" ht="17.25">
      <c r="A140" s="103" t="s">
        <v>25</v>
      </c>
      <c r="B140" s="104">
        <v>339.4</v>
      </c>
      <c r="C140" s="105">
        <v>489.6</v>
      </c>
      <c r="D140" s="106">
        <f>76+37.6+44+1.2+0.7+30+27.4+30.6+0.6+26+0.5</f>
        <v>274.59999999999997</v>
      </c>
      <c r="E140" s="107">
        <f>D140/D139*100</f>
        <v>85.83932478899654</v>
      </c>
      <c r="F140" s="107">
        <f t="shared" si="17"/>
        <v>80.90748379493223</v>
      </c>
      <c r="G140" s="107">
        <f>D140/C140*100</f>
        <v>56.08660130718953</v>
      </c>
      <c r="H140" s="105">
        <f t="shared" si="18"/>
        <v>64.80000000000001</v>
      </c>
      <c r="I140" s="105">
        <f t="shared" si="16"/>
        <v>215.00000000000006</v>
      </c>
      <c r="K140" s="154"/>
      <c r="L140" s="102"/>
    </row>
    <row r="141" spans="1:12" s="114" customFormat="1" ht="17.25">
      <c r="A141" s="108" t="s">
        <v>96</v>
      </c>
      <c r="B141" s="165">
        <v>1234.3</v>
      </c>
      <c r="C141" s="109">
        <v>1760</v>
      </c>
      <c r="D141" s="110">
        <f>107.3+0.4+30.4+78.2+4.1+36.9+117.9+50.5+112.6+5.2+52.3+10.5+76.8-0.2+10.4+82.9+84+50.5+35.7+3.4+90.4+1.3</f>
        <v>1041.5</v>
      </c>
      <c r="E141" s="113">
        <f>D141/D107*100</f>
        <v>0.4361463341094491</v>
      </c>
      <c r="F141" s="100">
        <f t="shared" si="17"/>
        <v>84.3798104188609</v>
      </c>
      <c r="G141" s="100">
        <f t="shared" si="14"/>
        <v>59.17613636363637</v>
      </c>
      <c r="H141" s="101">
        <f t="shared" si="18"/>
        <v>192.79999999999995</v>
      </c>
      <c r="I141" s="101">
        <f t="shared" si="16"/>
        <v>718.5</v>
      </c>
      <c r="J141" s="171"/>
      <c r="K141" s="154"/>
      <c r="L141" s="102"/>
    </row>
    <row r="142" spans="1:12" s="115" customFormat="1" ht="17.25">
      <c r="A142" s="112" t="s">
        <v>43</v>
      </c>
      <c r="B142" s="104">
        <v>998.5</v>
      </c>
      <c r="C142" s="105">
        <v>1437.4</v>
      </c>
      <c r="D142" s="106">
        <f>107.3+25.4+76+34+76.6+47.2+83.8+4.5+35.4+76.8-0.2+60.7+81+50.4+90.4</f>
        <v>849.2999999999998</v>
      </c>
      <c r="E142" s="107">
        <f>D142/D141*100</f>
        <v>81.54584733557367</v>
      </c>
      <c r="F142" s="107">
        <f aca="true" t="shared" si="19" ref="F142:F151">D142/B142*100</f>
        <v>85.05758637956934</v>
      </c>
      <c r="G142" s="107">
        <f t="shared" si="14"/>
        <v>59.08584945039653</v>
      </c>
      <c r="H142" s="105">
        <f t="shared" si="18"/>
        <v>149.20000000000016</v>
      </c>
      <c r="I142" s="105">
        <f t="shared" si="16"/>
        <v>588.1000000000003</v>
      </c>
      <c r="J142" s="172"/>
      <c r="K142" s="154"/>
      <c r="L142" s="102">
        <f>B108+B111+B114+B117+B119+B126+B127+B128+B130+B136+B71+B132+B137+B121+B113+B139+B70</f>
        <v>9017.1</v>
      </c>
    </row>
    <row r="143" spans="1:13" s="115" customFormat="1" ht="17.25">
      <c r="A143" s="103" t="s">
        <v>25</v>
      </c>
      <c r="B143" s="104">
        <v>28.2</v>
      </c>
      <c r="C143" s="105">
        <v>40</v>
      </c>
      <c r="D143" s="106">
        <f>0.4+4.9+0.7+4.7+3.3+0.4+0.7+0.6+0.1+0.1</f>
        <v>15.899999999999999</v>
      </c>
      <c r="E143" s="107">
        <f>D143/D141*100</f>
        <v>1.5266442630820931</v>
      </c>
      <c r="F143" s="107">
        <f t="shared" si="19"/>
        <v>56.38297872340425</v>
      </c>
      <c r="G143" s="107">
        <f>D143/C143*100</f>
        <v>39.75</v>
      </c>
      <c r="H143" s="105">
        <f t="shared" si="18"/>
        <v>12.3</v>
      </c>
      <c r="I143" s="105">
        <f t="shared" si="16"/>
        <v>24.1</v>
      </c>
      <c r="J143" s="172"/>
      <c r="K143" s="154"/>
      <c r="L143" s="102"/>
      <c r="M143" s="155"/>
    </row>
    <row r="144" spans="1:12" s="114" customFormat="1" ht="33.75" customHeight="1">
      <c r="A144" s="118" t="s">
        <v>56</v>
      </c>
      <c r="B144" s="165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0.22383121995343305</v>
      </c>
      <c r="F144" s="100">
        <f t="shared" si="19"/>
        <v>85.58847077662129</v>
      </c>
      <c r="G144" s="100">
        <f t="shared" si="14"/>
        <v>85.58847077662129</v>
      </c>
      <c r="H144" s="101">
        <f t="shared" si="18"/>
        <v>90</v>
      </c>
      <c r="I144" s="101">
        <f t="shared" si="16"/>
        <v>90</v>
      </c>
      <c r="J144" s="171"/>
      <c r="K144" s="154"/>
      <c r="L144" s="102"/>
    </row>
    <row r="145" spans="1:12" s="114" customFormat="1" ht="17.25" hidden="1">
      <c r="A145" s="118" t="s">
        <v>92</v>
      </c>
      <c r="B145" s="163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4"/>
        <v>#DIV/0!</v>
      </c>
      <c r="H145" s="101">
        <f t="shared" si="18"/>
        <v>0</v>
      </c>
      <c r="I145" s="101">
        <f t="shared" si="16"/>
        <v>0</v>
      </c>
      <c r="K145" s="154"/>
      <c r="L145" s="102"/>
    </row>
    <row r="146" spans="1:12" s="114" customFormat="1" ht="17.25">
      <c r="A146" s="118" t="s">
        <v>97</v>
      </c>
      <c r="B146" s="165">
        <v>37434.2</v>
      </c>
      <c r="C146" s="109">
        <f>56447.1-100+1500-3000+10865.4+0.1</f>
        <v>65712.6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+489.1+1646.6+90.1+306.1+2127.9+1140.2+2083.8+254.9+496.3+147.5+900+293.9+997.7</f>
        <v>33943</v>
      </c>
      <c r="E146" s="113">
        <f>D146/D107*100</f>
        <v>14.21422469388097</v>
      </c>
      <c r="F146" s="100">
        <f t="shared" si="19"/>
        <v>90.67376890650796</v>
      </c>
      <c r="G146" s="100">
        <f t="shared" si="14"/>
        <v>51.65371633446249</v>
      </c>
      <c r="H146" s="101">
        <f t="shared" si="18"/>
        <v>3491.199999999997</v>
      </c>
      <c r="I146" s="101">
        <f t="shared" si="16"/>
        <v>31769.600000000006</v>
      </c>
      <c r="J146" s="171"/>
      <c r="K146" s="154"/>
      <c r="L146" s="102"/>
    </row>
    <row r="147" spans="1:12" s="114" customFormat="1" ht="17.25" hidden="1">
      <c r="A147" s="118" t="s">
        <v>86</v>
      </c>
      <c r="B147" s="163"/>
      <c r="C147" s="109"/>
      <c r="D147" s="110"/>
      <c r="E147" s="113">
        <f>D147/D107*100</f>
        <v>0</v>
      </c>
      <c r="F147" s="100" t="e">
        <f t="shared" si="19"/>
        <v>#DIV/0!</v>
      </c>
      <c r="G147" s="100" t="e">
        <f t="shared" si="14"/>
        <v>#DIV/0!</v>
      </c>
      <c r="H147" s="101">
        <f t="shared" si="18"/>
        <v>0</v>
      </c>
      <c r="I147" s="101">
        <f t="shared" si="16"/>
        <v>0</v>
      </c>
      <c r="K147" s="154"/>
      <c r="L147" s="102"/>
    </row>
    <row r="148" spans="1:12" s="114" customFormat="1" ht="34.5" hidden="1">
      <c r="A148" s="118" t="s">
        <v>104</v>
      </c>
      <c r="B148" s="163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7.25">
      <c r="A149" s="108" t="s">
        <v>98</v>
      </c>
      <c r="B149" s="165">
        <v>89.4</v>
      </c>
      <c r="C149" s="109">
        <v>162.3</v>
      </c>
      <c r="D149" s="110">
        <f>46.4+43</f>
        <v>89.4</v>
      </c>
      <c r="E149" s="113">
        <f>D149/D107*100</f>
        <v>0.03743781302869395</v>
      </c>
      <c r="F149" s="100">
        <f t="shared" si="19"/>
        <v>100</v>
      </c>
      <c r="G149" s="100">
        <f t="shared" si="14"/>
        <v>55.08317929759704</v>
      </c>
      <c r="H149" s="101">
        <f t="shared" si="18"/>
        <v>0</v>
      </c>
      <c r="I149" s="101">
        <f t="shared" si="16"/>
        <v>72.9</v>
      </c>
      <c r="J149" s="171"/>
      <c r="K149" s="154"/>
      <c r="L149" s="102"/>
    </row>
    <row r="150" spans="1:12" s="114" customFormat="1" ht="18" customHeight="1">
      <c r="A150" s="108" t="s">
        <v>77</v>
      </c>
      <c r="B150" s="165">
        <v>8262.7</v>
      </c>
      <c r="C150" s="109">
        <f>10563.8+657.7</f>
        <v>11221.5</v>
      </c>
      <c r="D150" s="110">
        <f>791.9+575.3+777.6+830.9+722.1+47.7+657.7+821-47.6+744.9+750.8</f>
        <v>6672.299999999999</v>
      </c>
      <c r="E150" s="113">
        <f>D150/D107*100</f>
        <v>2.794142280440208</v>
      </c>
      <c r="F150" s="100">
        <f t="shared" si="19"/>
        <v>80.75205441320632</v>
      </c>
      <c r="G150" s="100">
        <f t="shared" si="14"/>
        <v>59.45996524528806</v>
      </c>
      <c r="H150" s="101">
        <f t="shared" si="18"/>
        <v>1590.4000000000015</v>
      </c>
      <c r="I150" s="101">
        <f t="shared" si="16"/>
        <v>4549.200000000001</v>
      </c>
      <c r="J150" s="171"/>
      <c r="K150" s="154"/>
      <c r="L150" s="102"/>
    </row>
    <row r="151" spans="1:12" s="114" customFormat="1" ht="19.5" customHeight="1">
      <c r="A151" s="148" t="s">
        <v>50</v>
      </c>
      <c r="B151" s="167">
        <v>254700.8</v>
      </c>
      <c r="C151" s="149">
        <f>350771.5+40351.1-7680.5+12-588.3</f>
        <v>382865.8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+292.7+2460.1+1498.1+35.3+17.3+2541.9+4569.6+200.8+3996.1+59.4+398.6+4382.3+345.9+705.2+2627.2+629.5+925.5+30.6+650+253.5+4065.3+30.9+21.1+566.5+1528.5+1339.1</f>
        <v>135371.7</v>
      </c>
      <c r="E151" s="151">
        <f>D151/D107*100</f>
        <v>56.68926615186185</v>
      </c>
      <c r="F151" s="152">
        <f t="shared" si="19"/>
        <v>53.149303025353674</v>
      </c>
      <c r="G151" s="152">
        <f t="shared" si="14"/>
        <v>35.357480349511505</v>
      </c>
      <c r="H151" s="153">
        <f t="shared" si="18"/>
        <v>119329.09999999998</v>
      </c>
      <c r="I151" s="153">
        <f>C151-D151</f>
        <v>247494.09999999998</v>
      </c>
      <c r="K151" s="154"/>
      <c r="L151" s="102"/>
    </row>
    <row r="152" spans="1:12" s="114" customFormat="1" ht="17.25">
      <c r="A152" s="108" t="s">
        <v>99</v>
      </c>
      <c r="B152" s="165">
        <v>28154.8</v>
      </c>
      <c r="C152" s="109">
        <v>42232</v>
      </c>
      <c r="D152" s="110">
        <f>819+819+819.1+1062.3+1173.1+1173.1+1173.2+1173.1+1173.1+1173.2+1173.1+1173.1+1173.2+1173.1+1173.1+1173.1+1173.1+1173.1+1173.1+1173.1+1173.1+1173.1</f>
        <v>24635.499999999993</v>
      </c>
      <c r="E152" s="113">
        <f>D152/D107*100</f>
        <v>10.316546340809726</v>
      </c>
      <c r="F152" s="100">
        <f t="shared" si="17"/>
        <v>87.5001775896117</v>
      </c>
      <c r="G152" s="100">
        <f t="shared" si="14"/>
        <v>58.33372797878384</v>
      </c>
      <c r="H152" s="101">
        <f t="shared" si="18"/>
        <v>3519.3000000000065</v>
      </c>
      <c r="I152" s="101">
        <f t="shared" si="16"/>
        <v>17596.500000000007</v>
      </c>
      <c r="K152" s="154"/>
      <c r="L152" s="102"/>
    </row>
    <row r="153" spans="1:12" s="2" customFormat="1" ht="18" thickBot="1">
      <c r="A153" s="29" t="s">
        <v>29</v>
      </c>
      <c r="B153" s="166"/>
      <c r="C153" s="64"/>
      <c r="D153" s="45">
        <f>D43+D69+D72+D77+D79+D87+D102+D107+D100+D84+D98</f>
        <v>247549.3</v>
      </c>
      <c r="E153" s="15"/>
      <c r="F153" s="15"/>
      <c r="G153" s="6"/>
      <c r="H153" s="53"/>
      <c r="I153" s="45"/>
      <c r="K153" s="154"/>
      <c r="L153" s="33"/>
    </row>
    <row r="154" spans="1:12" ht="18" thickBot="1">
      <c r="A154" s="12" t="s">
        <v>18</v>
      </c>
      <c r="B154" s="41">
        <f>B6+B18+B33+B43+B51+B59+B69+B72+B77+B79+B87+B90+B95+B102+B107+B100+B84+B98+B45</f>
        <v>1441017.8</v>
      </c>
      <c r="C154" s="41">
        <f>C6+C18+C33+C43+C51+C59+C69+C72+C77+C79+C87+C90+C95+C102+C107+C100+C84+C98+C45</f>
        <v>2166335.3999999994</v>
      </c>
      <c r="D154" s="41">
        <f>D6+D18+D33+D43+D51+D59+D69+D72+D77+D79+D87+D90+D95+D102+D107+D100+D84+D98+D45</f>
        <v>1147530.2000000002</v>
      </c>
      <c r="E154" s="28">
        <v>100</v>
      </c>
      <c r="F154" s="3">
        <f>D154/B154*100</f>
        <v>79.6333119549252</v>
      </c>
      <c r="G154" s="3">
        <f aca="true" t="shared" si="20" ref="G154:G160">D154/C154*100</f>
        <v>52.97103117088889</v>
      </c>
      <c r="H154" s="41">
        <f aca="true" t="shared" si="21" ref="H154:H160">B154-D154</f>
        <v>293487.59999999986</v>
      </c>
      <c r="I154" s="41">
        <f aca="true" t="shared" si="22" ref="I154:I160">C154-D154</f>
        <v>1018805.1999999993</v>
      </c>
      <c r="K154" s="158">
        <f>D154-751574.4-254427.1-132352.6</f>
        <v>9176.100000000151</v>
      </c>
      <c r="L154" s="34"/>
    </row>
    <row r="155" spans="1:12" ht="17.25">
      <c r="A155" s="16" t="s">
        <v>5</v>
      </c>
      <c r="B155" s="52">
        <f>B8+B20+B34+B52+B60+B91+B115+B120+B46+B142+B133+B103</f>
        <v>609235.7</v>
      </c>
      <c r="C155" s="52">
        <f>C8+C20+C34+C52+C60+C91+C115+C120+C46+C142+C133+C103</f>
        <v>896180.8</v>
      </c>
      <c r="D155" s="52">
        <f>D8+D20+D34+D52+D60+D91+D115+D120+D46+D142+D133+D103</f>
        <v>536965.0100000002</v>
      </c>
      <c r="E155" s="6">
        <f>D155/D154*100</f>
        <v>46.793104878634146</v>
      </c>
      <c r="F155" s="6">
        <f aca="true" t="shared" si="23" ref="F155:F160">D155/B155*100</f>
        <v>88.1374827509288</v>
      </c>
      <c r="G155" s="6">
        <f t="shared" si="20"/>
        <v>59.91704017760704</v>
      </c>
      <c r="H155" s="53">
        <f t="shared" si="21"/>
        <v>72270.68999999971</v>
      </c>
      <c r="I155" s="63">
        <f t="shared" si="22"/>
        <v>359215.7899999998</v>
      </c>
      <c r="K155" s="154"/>
      <c r="L155" s="34"/>
    </row>
    <row r="156" spans="1:12" ht="17.25">
      <c r="A156" s="16" t="s">
        <v>0</v>
      </c>
      <c r="B156" s="53">
        <f>B11+B23+B36+B55+B62+B92+B49+B143+B109+B112+B96+B140+B129</f>
        <v>67664.69999999998</v>
      </c>
      <c r="C156" s="53">
        <f>C11+C23+C36+C55+C62+C92+C49+C143+C109+C112+C96+C140+C129</f>
        <v>110563.99999999999</v>
      </c>
      <c r="D156" s="53">
        <f>D11+D23+D36+D55+D62+D92+D49+D143+D109+D112+D96+D140+D129</f>
        <v>63349.599999999984</v>
      </c>
      <c r="E156" s="6">
        <f>D156/D154*100</f>
        <v>5.520517019944222</v>
      </c>
      <c r="F156" s="6">
        <f t="shared" si="23"/>
        <v>93.62281957948532</v>
      </c>
      <c r="G156" s="6">
        <f t="shared" si="20"/>
        <v>57.29676929199377</v>
      </c>
      <c r="H156" s="53">
        <f>B156-D156</f>
        <v>4315.0999999999985</v>
      </c>
      <c r="I156" s="63">
        <f t="shared" si="22"/>
        <v>47214.4</v>
      </c>
      <c r="K156" s="154"/>
      <c r="L156" s="70"/>
    </row>
    <row r="157" spans="1:12" ht="17.25">
      <c r="A157" s="16" t="s">
        <v>1</v>
      </c>
      <c r="B157" s="52">
        <f>B22+B10+B54+B48+B61+B35+B124</f>
        <v>28350.006</v>
      </c>
      <c r="C157" s="52">
        <f>C22+C10+C54+C48+C61+C35+C124</f>
        <v>45948.3</v>
      </c>
      <c r="D157" s="52">
        <f>D22+D10+D54+D48+D61+D35+D124</f>
        <v>19192.599999999995</v>
      </c>
      <c r="E157" s="6">
        <f>D157/D154*100</f>
        <v>1.6725137168503272</v>
      </c>
      <c r="F157" s="6">
        <f t="shared" si="23"/>
        <v>67.69875110432073</v>
      </c>
      <c r="G157" s="6">
        <f t="shared" si="20"/>
        <v>41.769989314076895</v>
      </c>
      <c r="H157" s="53">
        <f t="shared" si="21"/>
        <v>9157.406000000006</v>
      </c>
      <c r="I157" s="63">
        <f t="shared" si="22"/>
        <v>26755.700000000008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22512.600000000002</v>
      </c>
      <c r="C158" s="52">
        <f>C12+C24+C104+C63+C38+C93+C131+C56+C138+C118</f>
        <v>30229.899999999998</v>
      </c>
      <c r="D158" s="52">
        <f>D12+D24+D104+D63+D38+D93+D131+D56+D138+D118</f>
        <v>15576.800000000003</v>
      </c>
      <c r="E158" s="6">
        <f>D158/D154*100</f>
        <v>1.3574196130088776</v>
      </c>
      <c r="F158" s="6">
        <f t="shared" si="23"/>
        <v>69.19147499622434</v>
      </c>
      <c r="G158" s="6">
        <f t="shared" si="20"/>
        <v>51.52779202048304</v>
      </c>
      <c r="H158" s="53">
        <f>B158-D158</f>
        <v>6935.799999999999</v>
      </c>
      <c r="I158" s="63">
        <f t="shared" si="22"/>
        <v>14653.099999999995</v>
      </c>
      <c r="K158" s="154"/>
      <c r="L158" s="70"/>
    </row>
    <row r="159" spans="1:12" ht="17.25">
      <c r="A159" s="16" t="s">
        <v>2</v>
      </c>
      <c r="B159" s="52">
        <f>B9+B21+B47+B53+B123</f>
        <v>31.558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0.0018561602997463594</v>
      </c>
      <c r="F159" s="6">
        <f t="shared" si="23"/>
        <v>67.49477153178275</v>
      </c>
      <c r="G159" s="6">
        <f t="shared" si="20"/>
        <v>18.83289124668435</v>
      </c>
      <c r="H159" s="53">
        <f t="shared" si="21"/>
        <v>10.258</v>
      </c>
      <c r="I159" s="63">
        <f t="shared" si="22"/>
        <v>91.80000000000001</v>
      </c>
      <c r="K159" s="154"/>
      <c r="L159" s="34"/>
    </row>
    <row r="160" spans="1:12" ht="18" thickBot="1">
      <c r="A160" s="89" t="s">
        <v>27</v>
      </c>
      <c r="B160" s="65">
        <f>B154-B155-B156-B157-B158-B159</f>
        <v>713223.2360000001</v>
      </c>
      <c r="C160" s="65">
        <f>C154-C155-C156-C157-C158-C159</f>
        <v>1083299.2999999993</v>
      </c>
      <c r="D160" s="65">
        <f>D154-D155-D156-D157-D158-D159</f>
        <v>512424.89</v>
      </c>
      <c r="E160" s="31">
        <f>D160/D154*100</f>
        <v>44.65458861126269</v>
      </c>
      <c r="F160" s="31">
        <f t="shared" si="23"/>
        <v>71.84635386724835</v>
      </c>
      <c r="G160" s="31">
        <f t="shared" si="20"/>
        <v>47.30224509514594</v>
      </c>
      <c r="H160" s="90">
        <f t="shared" si="21"/>
        <v>200798.34600000014</v>
      </c>
      <c r="I160" s="90">
        <f t="shared" si="22"/>
        <v>570874.4099999993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9"/>
      <c r="C166" s="160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1147530.2000000002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фінансування'!C154</f>
        <v>2166335.3999999994</v>
      </c>
    </row>
    <row r="2" spans="1:5" ht="15">
      <c r="A2" s="4"/>
      <c r="B2" s="4"/>
      <c r="C2" s="4"/>
      <c r="D2" s="4" t="s">
        <v>31</v>
      </c>
      <c r="E2" s="5">
        <f>'аналіз фінансування'!D154</f>
        <v>1147530.2000000002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2018-07-23T05:07:08Z</cp:lastPrinted>
  <dcterms:created xsi:type="dcterms:W3CDTF">2000-06-20T04:48:00Z</dcterms:created>
  <dcterms:modified xsi:type="dcterms:W3CDTF">2018-08-07T06:10:25Z</dcterms:modified>
  <cp:category/>
  <cp:version/>
  <cp:contentType/>
  <cp:contentStatus/>
</cp:coreProperties>
</file>